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Games\Mids Hero Designer\Homecoming Builds\"/>
    </mc:Choice>
  </mc:AlternateContent>
  <bookViews>
    <workbookView xWindow="0" yWindow="0" windowWidth="20835" windowHeight="12855" activeTab="3"/>
  </bookViews>
  <sheets>
    <sheet name="DPS (Unprocced AS) " sheetId="12" r:id="rId1"/>
    <sheet name="DPS (Procced AS)" sheetId="20" r:id="rId2"/>
    <sheet name="DPS (Procced AS + B.Lightning)" sheetId="21" r:id="rId3"/>
    <sheet name="DPS (Procced AS + WaterSpout)" sheetId="22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22" l="1"/>
  <c r="F26" i="22"/>
  <c r="F22" i="22"/>
  <c r="F15" i="22"/>
  <c r="F11" i="22"/>
  <c r="P16" i="22"/>
  <c r="P12" i="22"/>
  <c r="P27" i="22"/>
  <c r="P23" i="22"/>
  <c r="F8" i="22"/>
  <c r="F16" i="21"/>
  <c r="P51" i="21"/>
  <c r="P47" i="21"/>
  <c r="F50" i="21"/>
  <c r="F46" i="21"/>
  <c r="P40" i="21"/>
  <c r="P36" i="21"/>
  <c r="F39" i="21"/>
  <c r="F35" i="21"/>
  <c r="P29" i="21"/>
  <c r="P25" i="21"/>
  <c r="F28" i="21"/>
  <c r="F24" i="21"/>
  <c r="F11" i="21"/>
  <c r="P17" i="21"/>
  <c r="P12" i="21"/>
  <c r="F33" i="22" l="1"/>
  <c r="G33" i="22" s="1"/>
  <c r="M4" i="22"/>
  <c r="Q15" i="22"/>
  <c r="R15" i="22" s="1"/>
  <c r="X15" i="22" s="1"/>
  <c r="E30" i="22"/>
  <c r="W29" i="22"/>
  <c r="W22" i="22" s="1"/>
  <c r="W23" i="22" s="1"/>
  <c r="W24" i="22" s="1"/>
  <c r="W25" i="22" s="1"/>
  <c r="W26" i="22" s="1"/>
  <c r="Q29" i="22"/>
  <c r="R29" i="22" s="1"/>
  <c r="X29" i="22" s="1"/>
  <c r="Q28" i="22"/>
  <c r="R28" i="22" s="1"/>
  <c r="X28" i="22" s="1"/>
  <c r="I28" i="22"/>
  <c r="I29" i="22" s="1"/>
  <c r="Q27" i="22"/>
  <c r="R27" i="22" s="1"/>
  <c r="X27" i="22" s="1"/>
  <c r="J27" i="22"/>
  <c r="J28" i="22" s="1"/>
  <c r="J29" i="22" s="1"/>
  <c r="J22" i="22" s="1"/>
  <c r="K26" i="22"/>
  <c r="K27" i="22" s="1"/>
  <c r="H26" i="22"/>
  <c r="H27" i="22" s="1"/>
  <c r="H28" i="22" s="1"/>
  <c r="H29" i="22" s="1"/>
  <c r="Q26" i="22"/>
  <c r="R26" i="22" s="1"/>
  <c r="X26" i="22" s="1"/>
  <c r="V25" i="22"/>
  <c r="V26" i="22" s="1"/>
  <c r="V27" i="22" s="1"/>
  <c r="V28" i="22" s="1"/>
  <c r="V29" i="22" s="1"/>
  <c r="V22" i="22" s="1"/>
  <c r="Q25" i="22"/>
  <c r="R25" i="22" s="1"/>
  <c r="X25" i="22" s="1"/>
  <c r="Q24" i="22"/>
  <c r="R24" i="22" s="1"/>
  <c r="X24" i="22" s="1"/>
  <c r="I24" i="22"/>
  <c r="I25" i="22" s="1"/>
  <c r="Q23" i="22"/>
  <c r="J23" i="22"/>
  <c r="J24" i="22" s="1"/>
  <c r="J25" i="22" s="1"/>
  <c r="J26" i="22" s="1"/>
  <c r="K22" i="22"/>
  <c r="K23" i="22" s="1"/>
  <c r="H22" i="22"/>
  <c r="H23" i="22" s="1"/>
  <c r="H24" i="22" s="1"/>
  <c r="H25" i="22" s="1"/>
  <c r="F30" i="22"/>
  <c r="E19" i="22"/>
  <c r="W18" i="22"/>
  <c r="W11" i="22" s="1"/>
  <c r="W12" i="22" s="1"/>
  <c r="W13" i="22" s="1"/>
  <c r="W14" i="22" s="1"/>
  <c r="W15" i="22" s="1"/>
  <c r="Q18" i="22"/>
  <c r="R18" i="22" s="1"/>
  <c r="X18" i="22" s="1"/>
  <c r="N18" i="22"/>
  <c r="Q17" i="22"/>
  <c r="R17" i="22" s="1"/>
  <c r="X17" i="22" s="1"/>
  <c r="N17" i="22"/>
  <c r="J17" i="22"/>
  <c r="J18" i="22" s="1"/>
  <c r="Q16" i="22"/>
  <c r="N16" i="22"/>
  <c r="K16" i="22"/>
  <c r="I16" i="22"/>
  <c r="I17" i="22" s="1"/>
  <c r="I18" i="22" s="1"/>
  <c r="I11" i="22" s="1"/>
  <c r="N15" i="22"/>
  <c r="K15" i="22"/>
  <c r="H15" i="22"/>
  <c r="H16" i="22" s="1"/>
  <c r="H17" i="22" s="1"/>
  <c r="H18" i="22" s="1"/>
  <c r="V14" i="22"/>
  <c r="V15" i="22" s="1"/>
  <c r="V16" i="22" s="1"/>
  <c r="V17" i="22" s="1"/>
  <c r="V18" i="22" s="1"/>
  <c r="V11" i="22" s="1"/>
  <c r="Q14" i="22"/>
  <c r="R14" i="22" s="1"/>
  <c r="X14" i="22" s="1"/>
  <c r="N14" i="22"/>
  <c r="Q13" i="22"/>
  <c r="R13" i="22" s="1"/>
  <c r="X13" i="22" s="1"/>
  <c r="N13" i="22"/>
  <c r="J13" i="22"/>
  <c r="J14" i="22" s="1"/>
  <c r="Q12" i="22"/>
  <c r="N12" i="22"/>
  <c r="K12" i="22"/>
  <c r="I12" i="22"/>
  <c r="I13" i="22" s="1"/>
  <c r="I14" i="22" s="1"/>
  <c r="I15" i="22" s="1"/>
  <c r="N11" i="22"/>
  <c r="K11" i="22"/>
  <c r="H11" i="22"/>
  <c r="H12" i="22" s="1"/>
  <c r="H13" i="22" s="1"/>
  <c r="H14" i="22" s="1"/>
  <c r="Q11" i="22"/>
  <c r="R11" i="22" s="1"/>
  <c r="G7" i="22"/>
  <c r="G6" i="22"/>
  <c r="G5" i="22"/>
  <c r="G4" i="22"/>
  <c r="G3" i="22"/>
  <c r="G8" i="22"/>
  <c r="G2" i="22"/>
  <c r="G34" i="22" l="1"/>
  <c r="X34" i="22" s="1"/>
  <c r="R23" i="22"/>
  <c r="X23" i="22" s="1"/>
  <c r="G30" i="22"/>
  <c r="R16" i="22"/>
  <c r="X16" i="22" s="1"/>
  <c r="R12" i="22"/>
  <c r="X12" i="22" s="1"/>
  <c r="F19" i="22"/>
  <c r="G19" i="22" s="1"/>
  <c r="Q22" i="22"/>
  <c r="R22" i="22" s="1"/>
  <c r="X22" i="22" s="1"/>
  <c r="X30" i="22" s="1"/>
  <c r="X31" i="22" s="1"/>
  <c r="X11" i="22"/>
  <c r="N19" i="22"/>
  <c r="O15" i="22" s="1"/>
  <c r="X54" i="20"/>
  <c r="X39" i="20"/>
  <c r="R54" i="21"/>
  <c r="X54" i="21" s="1"/>
  <c r="R53" i="21"/>
  <c r="X53" i="21" s="1"/>
  <c r="Q54" i="21"/>
  <c r="Q53" i="21"/>
  <c r="Q52" i="21"/>
  <c r="R52" i="21" s="1"/>
  <c r="Q51" i="21"/>
  <c r="R51" i="21" s="1"/>
  <c r="X51" i="21" s="1"/>
  <c r="K51" i="21"/>
  <c r="H48" i="21"/>
  <c r="H49" i="21" s="1"/>
  <c r="L51" i="21"/>
  <c r="L52" i="21" s="1"/>
  <c r="L53" i="21" s="1"/>
  <c r="L54" i="21" s="1"/>
  <c r="L46" i="21" s="1"/>
  <c r="L47" i="21" s="1"/>
  <c r="L48" i="21" s="1"/>
  <c r="L49" i="21" s="1"/>
  <c r="E55" i="21"/>
  <c r="W54" i="21"/>
  <c r="W46" i="21" s="1"/>
  <c r="W47" i="21" s="1"/>
  <c r="W48" i="21" s="1"/>
  <c r="W49" i="21" s="1"/>
  <c r="W50" i="21" s="1"/>
  <c r="I53" i="21"/>
  <c r="I54" i="21" s="1"/>
  <c r="J52" i="21"/>
  <c r="J53" i="21" s="1"/>
  <c r="J54" i="21" s="1"/>
  <c r="J46" i="21" s="1"/>
  <c r="V50" i="21"/>
  <c r="V51" i="21" s="1"/>
  <c r="V52" i="21" s="1"/>
  <c r="V53" i="21" s="1"/>
  <c r="V54" i="21" s="1"/>
  <c r="Q50" i="21"/>
  <c r="R50" i="21" s="1"/>
  <c r="X50" i="21" s="1"/>
  <c r="K50" i="21"/>
  <c r="H50" i="21"/>
  <c r="H51" i="21" s="1"/>
  <c r="H52" i="21" s="1"/>
  <c r="H53" i="21" s="1"/>
  <c r="H54" i="21" s="1"/>
  <c r="V49" i="21"/>
  <c r="Q49" i="21"/>
  <c r="R49" i="21" s="1"/>
  <c r="X49" i="21" s="1"/>
  <c r="Q48" i="21"/>
  <c r="R48" i="21" s="1"/>
  <c r="X48" i="21" s="1"/>
  <c r="I48" i="21"/>
  <c r="I49" i="21" s="1"/>
  <c r="Q47" i="21"/>
  <c r="R47" i="21"/>
  <c r="X47" i="21" s="1"/>
  <c r="J47" i="21"/>
  <c r="J48" i="21" s="1"/>
  <c r="J49" i="21" s="1"/>
  <c r="J50" i="21" s="1"/>
  <c r="K46" i="21"/>
  <c r="K47" i="21" s="1"/>
  <c r="H46" i="21"/>
  <c r="H47" i="21" s="1"/>
  <c r="Q46" i="21"/>
  <c r="R46" i="21" s="1"/>
  <c r="L17" i="21"/>
  <c r="L18" i="21" s="1"/>
  <c r="L19" i="21" s="1"/>
  <c r="L20" i="21" s="1"/>
  <c r="L11" i="21" s="1"/>
  <c r="L12" i="21" s="1"/>
  <c r="L13" i="21" s="1"/>
  <c r="L14" i="21" s="1"/>
  <c r="L15" i="21" s="1"/>
  <c r="L16" i="21" s="1"/>
  <c r="J30" i="21"/>
  <c r="J31" i="21" s="1"/>
  <c r="I29" i="21"/>
  <c r="I30" i="21" s="1"/>
  <c r="I31" i="21" s="1"/>
  <c r="I24" i="21" s="1"/>
  <c r="J26" i="21"/>
  <c r="J27" i="21" s="1"/>
  <c r="I25" i="21"/>
  <c r="I26" i="21" s="1"/>
  <c r="I27" i="21" s="1"/>
  <c r="I28" i="21" s="1"/>
  <c r="J30" i="20"/>
  <c r="J31" i="20" s="1"/>
  <c r="J26" i="20"/>
  <c r="J27" i="20" s="1"/>
  <c r="I29" i="20"/>
  <c r="I30" i="20" s="1"/>
  <c r="I31" i="20" s="1"/>
  <c r="I24" i="20" s="1"/>
  <c r="I25" i="20"/>
  <c r="I26" i="20" s="1"/>
  <c r="I27" i="20" s="1"/>
  <c r="I28" i="20" s="1"/>
  <c r="G4" i="21"/>
  <c r="E43" i="21"/>
  <c r="W42" i="21"/>
  <c r="W35" i="21" s="1"/>
  <c r="W36" i="21" s="1"/>
  <c r="W37" i="21" s="1"/>
  <c r="W38" i="21" s="1"/>
  <c r="W39" i="21" s="1"/>
  <c r="Q42" i="21"/>
  <c r="R42" i="21" s="1"/>
  <c r="X42" i="21" s="1"/>
  <c r="Q41" i="21"/>
  <c r="R41" i="21" s="1"/>
  <c r="X41" i="21" s="1"/>
  <c r="I41" i="21"/>
  <c r="I42" i="21" s="1"/>
  <c r="Q40" i="21"/>
  <c r="J40" i="21"/>
  <c r="J41" i="21" s="1"/>
  <c r="J42" i="21" s="1"/>
  <c r="J35" i="21" s="1"/>
  <c r="K39" i="21"/>
  <c r="K40" i="21" s="1"/>
  <c r="H39" i="21"/>
  <c r="H40" i="21" s="1"/>
  <c r="H41" i="21" s="1"/>
  <c r="H42" i="21" s="1"/>
  <c r="Q39" i="21"/>
  <c r="R39" i="21" s="1"/>
  <c r="X39" i="21" s="1"/>
  <c r="V38" i="21"/>
  <c r="V39" i="21" s="1"/>
  <c r="V40" i="21" s="1"/>
  <c r="V41" i="21" s="1"/>
  <c r="V42" i="21" s="1"/>
  <c r="V35" i="21" s="1"/>
  <c r="Q38" i="21"/>
  <c r="R38" i="21" s="1"/>
  <c r="X38" i="21" s="1"/>
  <c r="Q37" i="21"/>
  <c r="R37" i="21" s="1"/>
  <c r="X37" i="21" s="1"/>
  <c r="I37" i="21"/>
  <c r="I38" i="21" s="1"/>
  <c r="Q36" i="21"/>
  <c r="J36" i="21"/>
  <c r="J37" i="21" s="1"/>
  <c r="J38" i="21" s="1"/>
  <c r="J39" i="21" s="1"/>
  <c r="K35" i="21"/>
  <c r="K36" i="21" s="1"/>
  <c r="H35" i="21"/>
  <c r="H36" i="21" s="1"/>
  <c r="H37" i="21" s="1"/>
  <c r="H38" i="21" s="1"/>
  <c r="Q35" i="21"/>
  <c r="R35" i="21" s="1"/>
  <c r="X35" i="21" s="1"/>
  <c r="E32" i="21"/>
  <c r="W31" i="21"/>
  <c r="W24" i="21" s="1"/>
  <c r="W25" i="21" s="1"/>
  <c r="W26" i="21" s="1"/>
  <c r="W27" i="21" s="1"/>
  <c r="W28" i="21" s="1"/>
  <c r="Q31" i="21"/>
  <c r="R31" i="21" s="1"/>
  <c r="X31" i="21" s="1"/>
  <c r="N31" i="21"/>
  <c r="Q30" i="21"/>
  <c r="R30" i="21" s="1"/>
  <c r="X30" i="21" s="1"/>
  <c r="N30" i="21"/>
  <c r="Q29" i="21"/>
  <c r="N29" i="21"/>
  <c r="K29" i="21"/>
  <c r="N28" i="21"/>
  <c r="K28" i="21"/>
  <c r="H28" i="21"/>
  <c r="H29" i="21" s="1"/>
  <c r="H30" i="21" s="1"/>
  <c r="H31" i="21" s="1"/>
  <c r="V27" i="21"/>
  <c r="V28" i="21" s="1"/>
  <c r="V29" i="21" s="1"/>
  <c r="V30" i="21" s="1"/>
  <c r="V31" i="21" s="1"/>
  <c r="V24" i="21" s="1"/>
  <c r="Q27" i="21"/>
  <c r="R27" i="21" s="1"/>
  <c r="X27" i="21" s="1"/>
  <c r="N27" i="21"/>
  <c r="Q26" i="21"/>
  <c r="R26" i="21" s="1"/>
  <c r="X26" i="21" s="1"/>
  <c r="N26" i="21"/>
  <c r="Q25" i="21"/>
  <c r="N25" i="21"/>
  <c r="K25" i="21"/>
  <c r="N24" i="21"/>
  <c r="K24" i="21"/>
  <c r="H24" i="21"/>
  <c r="H25" i="21" s="1"/>
  <c r="H26" i="21" s="1"/>
  <c r="H27" i="21" s="1"/>
  <c r="Q24" i="21"/>
  <c r="R24" i="21" s="1"/>
  <c r="E21" i="21"/>
  <c r="Q20" i="21"/>
  <c r="R20" i="21" s="1"/>
  <c r="K20" i="21"/>
  <c r="K11" i="21" s="1"/>
  <c r="K12" i="21" s="1"/>
  <c r="Q19" i="21"/>
  <c r="R19" i="21" s="1"/>
  <c r="J19" i="21"/>
  <c r="J20" i="21" s="1"/>
  <c r="J11" i="21" s="1"/>
  <c r="J12" i="21" s="1"/>
  <c r="J13" i="21" s="1"/>
  <c r="Q18" i="21"/>
  <c r="R18" i="21" s="1"/>
  <c r="K18" i="21"/>
  <c r="K19" i="21" s="1"/>
  <c r="Q17" i="21"/>
  <c r="R17" i="21" s="1"/>
  <c r="Q16" i="21"/>
  <c r="R16" i="21" s="1"/>
  <c r="H16" i="21"/>
  <c r="H17" i="21" s="1"/>
  <c r="H18" i="21" s="1"/>
  <c r="H19" i="21" s="1"/>
  <c r="H20" i="21" s="1"/>
  <c r="Q15" i="21"/>
  <c r="R15" i="21" s="1"/>
  <c r="K15" i="21"/>
  <c r="K16" i="21" s="1"/>
  <c r="K17" i="21" s="1"/>
  <c r="Q14" i="21"/>
  <c r="R14" i="21" s="1"/>
  <c r="J14" i="21"/>
  <c r="J15" i="21" s="1"/>
  <c r="J16" i="21" s="1"/>
  <c r="J17" i="21" s="1"/>
  <c r="J18" i="21" s="1"/>
  <c r="Q13" i="21"/>
  <c r="R13" i="21" s="1"/>
  <c r="K13" i="21"/>
  <c r="K14" i="21" s="1"/>
  <c r="Q12" i="21"/>
  <c r="R12" i="21"/>
  <c r="I12" i="21"/>
  <c r="I13" i="21" s="1"/>
  <c r="I14" i="21" s="1"/>
  <c r="I15" i="21" s="1"/>
  <c r="I16" i="21" s="1"/>
  <c r="I17" i="21" s="1"/>
  <c r="I18" i="21" s="1"/>
  <c r="H11" i="21"/>
  <c r="H12" i="21" s="1"/>
  <c r="H13" i="21" s="1"/>
  <c r="H14" i="21" s="1"/>
  <c r="H15" i="21" s="1"/>
  <c r="G9" i="21"/>
  <c r="G8" i="21"/>
  <c r="G7" i="21"/>
  <c r="G6" i="21"/>
  <c r="G5" i="21"/>
  <c r="G3" i="21"/>
  <c r="G2" i="21"/>
  <c r="N31" i="20"/>
  <c r="N27" i="20"/>
  <c r="N30" i="20"/>
  <c r="N26" i="20"/>
  <c r="N29" i="20"/>
  <c r="N25" i="20"/>
  <c r="N28" i="20"/>
  <c r="N24" i="20"/>
  <c r="E43" i="20"/>
  <c r="W42" i="20"/>
  <c r="W35" i="20" s="1"/>
  <c r="W36" i="20" s="1"/>
  <c r="W37" i="20" s="1"/>
  <c r="W38" i="20" s="1"/>
  <c r="W39" i="20" s="1"/>
  <c r="Q42" i="20"/>
  <c r="R42" i="20" s="1"/>
  <c r="X42" i="20" s="1"/>
  <c r="Q41" i="20"/>
  <c r="R41" i="20" s="1"/>
  <c r="X41" i="20" s="1"/>
  <c r="I41" i="20"/>
  <c r="I42" i="20" s="1"/>
  <c r="Q40" i="20"/>
  <c r="P40" i="20"/>
  <c r="J40" i="20"/>
  <c r="J41" i="20" s="1"/>
  <c r="J42" i="20" s="1"/>
  <c r="J35" i="20" s="1"/>
  <c r="K39" i="20"/>
  <c r="K40" i="20" s="1"/>
  <c r="H39" i="20"/>
  <c r="H40" i="20" s="1"/>
  <c r="H41" i="20" s="1"/>
  <c r="H42" i="20" s="1"/>
  <c r="F39" i="20"/>
  <c r="Q39" i="20" s="1"/>
  <c r="R39" i="20" s="1"/>
  <c r="V38" i="20"/>
  <c r="V39" i="20" s="1"/>
  <c r="V40" i="20" s="1"/>
  <c r="V41" i="20" s="1"/>
  <c r="V42" i="20" s="1"/>
  <c r="V35" i="20" s="1"/>
  <c r="Q38" i="20"/>
  <c r="R38" i="20" s="1"/>
  <c r="X38" i="20" s="1"/>
  <c r="Q37" i="20"/>
  <c r="R37" i="20" s="1"/>
  <c r="X37" i="20" s="1"/>
  <c r="I37" i="20"/>
  <c r="I38" i="20" s="1"/>
  <c r="Q36" i="20"/>
  <c r="P36" i="20"/>
  <c r="J36" i="20"/>
  <c r="J37" i="20" s="1"/>
  <c r="J38" i="20" s="1"/>
  <c r="J39" i="20" s="1"/>
  <c r="K35" i="20"/>
  <c r="K36" i="20" s="1"/>
  <c r="H35" i="20"/>
  <c r="H36" i="20" s="1"/>
  <c r="H37" i="20" s="1"/>
  <c r="H38" i="20" s="1"/>
  <c r="F35" i="20"/>
  <c r="Q35" i="20" s="1"/>
  <c r="R35" i="20" s="1"/>
  <c r="X35" i="20" s="1"/>
  <c r="Q30" i="20"/>
  <c r="R30" i="20" s="1"/>
  <c r="X30" i="20" s="1"/>
  <c r="Q29" i="20"/>
  <c r="P29" i="20"/>
  <c r="Q26" i="20"/>
  <c r="Q25" i="20"/>
  <c r="P25" i="20"/>
  <c r="P52" i="20"/>
  <c r="R52" i="20" s="1"/>
  <c r="X52" i="20" s="1"/>
  <c r="P47" i="20"/>
  <c r="Q53" i="20"/>
  <c r="Q52" i="20"/>
  <c r="Q48" i="20"/>
  <c r="Q47" i="20"/>
  <c r="F28" i="20"/>
  <c r="Q28" i="20" s="1"/>
  <c r="R28" i="20" s="1"/>
  <c r="X28" i="20" s="1"/>
  <c r="F24" i="20"/>
  <c r="I55" i="20"/>
  <c r="I46" i="20" s="1"/>
  <c r="I47" i="20" s="1"/>
  <c r="J53" i="20"/>
  <c r="J54" i="20" s="1"/>
  <c r="J48" i="20"/>
  <c r="J49" i="20"/>
  <c r="K52" i="20"/>
  <c r="K53" i="20" s="1"/>
  <c r="K54" i="20" s="1"/>
  <c r="K55" i="20" s="1"/>
  <c r="K47" i="20"/>
  <c r="K48" i="20" s="1"/>
  <c r="K49" i="20" s="1"/>
  <c r="K50" i="20" s="1"/>
  <c r="L50" i="20"/>
  <c r="L51" i="20" s="1"/>
  <c r="L52" i="20" s="1"/>
  <c r="L55" i="20"/>
  <c r="L46" i="20" s="1"/>
  <c r="L47" i="20" s="1"/>
  <c r="F51" i="20"/>
  <c r="Q51" i="20" s="1"/>
  <c r="R51" i="20" s="1"/>
  <c r="X51" i="20" s="1"/>
  <c r="F46" i="20"/>
  <c r="Q46" i="20" s="1"/>
  <c r="R46" i="20" s="1"/>
  <c r="F11" i="20"/>
  <c r="Q11" i="20" s="1"/>
  <c r="R11" i="20" s="1"/>
  <c r="Q17" i="20"/>
  <c r="Q12" i="20"/>
  <c r="F16" i="20"/>
  <c r="Q16" i="20" s="1"/>
  <c r="R16" i="20" s="1"/>
  <c r="Q20" i="20"/>
  <c r="R20" i="20" s="1"/>
  <c r="Q19" i="20"/>
  <c r="R19" i="20" s="1"/>
  <c r="Q18" i="20"/>
  <c r="R18" i="20" s="1"/>
  <c r="Q15" i="20"/>
  <c r="R15" i="20" s="1"/>
  <c r="Q14" i="20"/>
  <c r="R14" i="20" s="1"/>
  <c r="Q13" i="20"/>
  <c r="R13" i="20" s="1"/>
  <c r="P17" i="20"/>
  <c r="P12" i="20"/>
  <c r="K18" i="20"/>
  <c r="K19" i="20" s="1"/>
  <c r="K15" i="20"/>
  <c r="K16" i="20" s="1"/>
  <c r="K17" i="20" s="1"/>
  <c r="K13" i="20"/>
  <c r="K14" i="20" s="1"/>
  <c r="J19" i="20"/>
  <c r="J20" i="20" s="1"/>
  <c r="J11" i="20" s="1"/>
  <c r="J12" i="20" s="1"/>
  <c r="J13" i="20" s="1"/>
  <c r="J14" i="20"/>
  <c r="J15" i="20" s="1"/>
  <c r="J16" i="20" s="1"/>
  <c r="J17" i="20" s="1"/>
  <c r="J18" i="20" s="1"/>
  <c r="I17" i="20"/>
  <c r="I18" i="20" s="1"/>
  <c r="I19" i="20" s="1"/>
  <c r="I12" i="20"/>
  <c r="I13" i="20" s="1"/>
  <c r="I14" i="20" s="1"/>
  <c r="E32" i="20"/>
  <c r="W31" i="20"/>
  <c r="W24" i="20" s="1"/>
  <c r="W25" i="20" s="1"/>
  <c r="W26" i="20" s="1"/>
  <c r="W27" i="20" s="1"/>
  <c r="W28" i="20" s="1"/>
  <c r="Q31" i="20"/>
  <c r="R31" i="20" s="1"/>
  <c r="X31" i="20" s="1"/>
  <c r="K29" i="20"/>
  <c r="K28" i="20"/>
  <c r="H28" i="20"/>
  <c r="H29" i="20" s="1"/>
  <c r="H30" i="20" s="1"/>
  <c r="H31" i="20" s="1"/>
  <c r="V27" i="20"/>
  <c r="V28" i="20" s="1"/>
  <c r="V29" i="20" s="1"/>
  <c r="V30" i="20" s="1"/>
  <c r="V31" i="20" s="1"/>
  <c r="V24" i="20" s="1"/>
  <c r="Q27" i="20"/>
  <c r="R27" i="20" s="1"/>
  <c r="X27" i="20" s="1"/>
  <c r="K25" i="20"/>
  <c r="K24" i="20"/>
  <c r="H24" i="20"/>
  <c r="H25" i="20" s="1"/>
  <c r="H26" i="20" s="1"/>
  <c r="H27" i="20" s="1"/>
  <c r="E56" i="20"/>
  <c r="Q55" i="20"/>
  <c r="R55" i="20" s="1"/>
  <c r="X55" i="20" s="1"/>
  <c r="W54" i="20"/>
  <c r="W55" i="20" s="1"/>
  <c r="W46" i="20" s="1"/>
  <c r="W47" i="20" s="1"/>
  <c r="W48" i="20" s="1"/>
  <c r="W49" i="20" s="1"/>
  <c r="Q54" i="20"/>
  <c r="R54" i="20" s="1"/>
  <c r="H51" i="20"/>
  <c r="H52" i="20" s="1"/>
  <c r="H53" i="20" s="1"/>
  <c r="H54" i="20" s="1"/>
  <c r="H55" i="20" s="1"/>
  <c r="Q50" i="20"/>
  <c r="R50" i="20" s="1"/>
  <c r="X50" i="20" s="1"/>
  <c r="I50" i="20"/>
  <c r="I51" i="20" s="1"/>
  <c r="I52" i="20" s="1"/>
  <c r="V49" i="20"/>
  <c r="V50" i="20" s="1"/>
  <c r="V51" i="20" s="1"/>
  <c r="V52" i="20" s="1"/>
  <c r="V53" i="20" s="1"/>
  <c r="V54" i="20" s="1"/>
  <c r="Q49" i="20"/>
  <c r="R49" i="20" s="1"/>
  <c r="X49" i="20" s="1"/>
  <c r="H46" i="20"/>
  <c r="H47" i="20" s="1"/>
  <c r="H48" i="20" s="1"/>
  <c r="H49" i="20" s="1"/>
  <c r="H50" i="20" s="1"/>
  <c r="E21" i="20"/>
  <c r="K20" i="20"/>
  <c r="K11" i="20" s="1"/>
  <c r="K12" i="20" s="1"/>
  <c r="H16" i="20"/>
  <c r="H17" i="20" s="1"/>
  <c r="H18" i="20" s="1"/>
  <c r="H19" i="20" s="1"/>
  <c r="H20" i="20" s="1"/>
  <c r="H11" i="20"/>
  <c r="H12" i="20" s="1"/>
  <c r="H13" i="20" s="1"/>
  <c r="H14" i="20" s="1"/>
  <c r="H15" i="20" s="1"/>
  <c r="G8" i="20"/>
  <c r="G7" i="20"/>
  <c r="G6" i="20"/>
  <c r="G5" i="20"/>
  <c r="G4" i="20"/>
  <c r="G3" i="20"/>
  <c r="G2" i="20"/>
  <c r="R30" i="22" l="1"/>
  <c r="R31" i="22" s="1"/>
  <c r="X19" i="22"/>
  <c r="X20" i="22" s="1"/>
  <c r="R19" i="22"/>
  <c r="R20" i="22" s="1"/>
  <c r="Z31" i="22"/>
  <c r="Z20" i="22"/>
  <c r="X52" i="21"/>
  <c r="R55" i="21"/>
  <c r="R56" i="21" s="1"/>
  <c r="R25" i="21"/>
  <c r="X25" i="21" s="1"/>
  <c r="O11" i="22"/>
  <c r="O17" i="22"/>
  <c r="O18" i="22"/>
  <c r="O16" i="22"/>
  <c r="O14" i="22"/>
  <c r="O12" i="22"/>
  <c r="O13" i="22"/>
  <c r="R40" i="20"/>
  <c r="X40" i="20" s="1"/>
  <c r="X46" i="21"/>
  <c r="F55" i="21"/>
  <c r="G55" i="21" s="1"/>
  <c r="R40" i="21"/>
  <c r="X40" i="21" s="1"/>
  <c r="F21" i="21"/>
  <c r="F32" i="21"/>
  <c r="R29" i="21"/>
  <c r="X29" i="21" s="1"/>
  <c r="R36" i="21"/>
  <c r="X36" i="21" s="1"/>
  <c r="G21" i="21"/>
  <c r="N32" i="20"/>
  <c r="G32" i="21"/>
  <c r="N32" i="21"/>
  <c r="O30" i="21" s="1"/>
  <c r="O27" i="21"/>
  <c r="X24" i="21"/>
  <c r="Q28" i="21"/>
  <c r="R28" i="21" s="1"/>
  <c r="X28" i="21" s="1"/>
  <c r="Q11" i="21"/>
  <c r="R11" i="21" s="1"/>
  <c r="R21" i="21" s="1"/>
  <c r="R22" i="21" s="1"/>
  <c r="F43" i="21"/>
  <c r="G43" i="21" s="1"/>
  <c r="R47" i="20"/>
  <c r="X47" i="20" s="1"/>
  <c r="F56" i="20"/>
  <c r="R12" i="20"/>
  <c r="R25" i="20"/>
  <c r="X25" i="20" s="1"/>
  <c r="R17" i="20"/>
  <c r="F32" i="20"/>
  <c r="G32" i="20"/>
  <c r="R29" i="20"/>
  <c r="X29" i="20" s="1"/>
  <c r="Q24" i="20"/>
  <c r="R24" i="20" s="1"/>
  <c r="R36" i="20"/>
  <c r="X36" i="20" s="1"/>
  <c r="X43" i="20" s="1"/>
  <c r="X44" i="20" s="1"/>
  <c r="R43" i="20"/>
  <c r="R44" i="20" s="1"/>
  <c r="F43" i="20"/>
  <c r="G43" i="20" s="1"/>
  <c r="R26" i="20"/>
  <c r="X26" i="20" s="1"/>
  <c r="G56" i="20"/>
  <c r="R53" i="20"/>
  <c r="X53" i="20" s="1"/>
  <c r="R48" i="20"/>
  <c r="X48" i="20" s="1"/>
  <c r="X46" i="20"/>
  <c r="F21" i="20"/>
  <c r="G21" i="20" s="1"/>
  <c r="H29" i="12"/>
  <c r="R40" i="12"/>
  <c r="R41" i="12" s="1"/>
  <c r="Q39" i="12"/>
  <c r="R39" i="12" s="1"/>
  <c r="Q38" i="12"/>
  <c r="R38" i="12" s="1"/>
  <c r="P25" i="12"/>
  <c r="Q35" i="12"/>
  <c r="R35" i="12" s="1"/>
  <c r="Q34" i="12"/>
  <c r="R34" i="12" s="1"/>
  <c r="Q31" i="12"/>
  <c r="R31" i="12" s="1"/>
  <c r="Q30" i="12"/>
  <c r="R30" i="12" s="1"/>
  <c r="Q27" i="12"/>
  <c r="R27" i="12" s="1"/>
  <c r="Q26" i="12"/>
  <c r="R26" i="12" s="1"/>
  <c r="Q37" i="12"/>
  <c r="P37" i="12"/>
  <c r="R37" i="12" s="1"/>
  <c r="R36" i="12"/>
  <c r="Q36" i="12"/>
  <c r="Q33" i="12"/>
  <c r="P33" i="12"/>
  <c r="R33" i="12" s="1"/>
  <c r="Q32" i="12"/>
  <c r="R32" i="12" s="1"/>
  <c r="Q29" i="12"/>
  <c r="P29" i="12"/>
  <c r="R29" i="12" s="1"/>
  <c r="Q28" i="12"/>
  <c r="R28" i="12" s="1"/>
  <c r="Q25" i="12"/>
  <c r="R25" i="12"/>
  <c r="R24" i="12"/>
  <c r="Q24" i="12"/>
  <c r="P17" i="12"/>
  <c r="P12" i="12"/>
  <c r="F36" i="12"/>
  <c r="F32" i="12"/>
  <c r="F28" i="12"/>
  <c r="F24" i="12"/>
  <c r="E40" i="12"/>
  <c r="L39" i="12"/>
  <c r="L24" i="12" s="1"/>
  <c r="L25" i="12" s="1"/>
  <c r="J37" i="12"/>
  <c r="K38" i="12"/>
  <c r="H36" i="12"/>
  <c r="I35" i="12"/>
  <c r="J33" i="12"/>
  <c r="K34" i="12"/>
  <c r="H32" i="12"/>
  <c r="K31" i="12"/>
  <c r="J29" i="12"/>
  <c r="I30" i="12"/>
  <c r="H28" i="12"/>
  <c r="K27" i="12"/>
  <c r="K28" i="12" s="1"/>
  <c r="K29" i="12" s="1"/>
  <c r="K32" i="12" s="1"/>
  <c r="J26" i="12"/>
  <c r="J27" i="12" s="1"/>
  <c r="J28" i="12" s="1"/>
  <c r="J30" i="12" s="1"/>
  <c r="J31" i="12" s="1"/>
  <c r="I25" i="12"/>
  <c r="I26" i="12" s="1"/>
  <c r="I27" i="12" s="1"/>
  <c r="I28" i="12" s="1"/>
  <c r="I29" i="12" s="1"/>
  <c r="I31" i="12" s="1"/>
  <c r="I32" i="12" s="1"/>
  <c r="I33" i="12" s="1"/>
  <c r="I34" i="12" s="1"/>
  <c r="H30" i="12"/>
  <c r="H31" i="12" s="1"/>
  <c r="H24" i="12"/>
  <c r="H25" i="12" s="1"/>
  <c r="H26" i="12" s="1"/>
  <c r="H27" i="12" s="1"/>
  <c r="F16" i="12"/>
  <c r="F11" i="12"/>
  <c r="K20" i="12"/>
  <c r="J19" i="12"/>
  <c r="J20" i="12" s="1"/>
  <c r="K18" i="12"/>
  <c r="K19" i="12" s="1"/>
  <c r="I17" i="12"/>
  <c r="I18" i="12" s="1"/>
  <c r="I19" i="12" s="1"/>
  <c r="K15" i="12"/>
  <c r="J14" i="12"/>
  <c r="J15" i="12" s="1"/>
  <c r="J16" i="12" s="1"/>
  <c r="J17" i="12" s="1"/>
  <c r="J18" i="12" s="1"/>
  <c r="Q15" i="12"/>
  <c r="R15" i="12" s="1"/>
  <c r="K13" i="12"/>
  <c r="K14" i="12" s="1"/>
  <c r="G4" i="12"/>
  <c r="X55" i="21" l="1"/>
  <c r="X56" i="21" s="1"/>
  <c r="O29" i="21"/>
  <c r="O19" i="22"/>
  <c r="R32" i="20"/>
  <c r="R33" i="20" s="1"/>
  <c r="R56" i="20"/>
  <c r="R57" i="20" s="1"/>
  <c r="R43" i="21"/>
  <c r="R44" i="21" s="1"/>
  <c r="X43" i="21"/>
  <c r="X44" i="21" s="1"/>
  <c r="O31" i="21"/>
  <c r="O25" i="21"/>
  <c r="O28" i="21"/>
  <c r="O24" i="21"/>
  <c r="O26" i="21"/>
  <c r="O27" i="20"/>
  <c r="O25" i="20"/>
  <c r="O28" i="20"/>
  <c r="O29" i="20"/>
  <c r="O30" i="20"/>
  <c r="O31" i="20"/>
  <c r="O26" i="20"/>
  <c r="O24" i="20"/>
  <c r="X32" i="21"/>
  <c r="X33" i="21" s="1"/>
  <c r="R32" i="21"/>
  <c r="R33" i="21" s="1"/>
  <c r="X24" i="20"/>
  <c r="X32" i="20" s="1"/>
  <c r="X33" i="20" s="1"/>
  <c r="X56" i="20"/>
  <c r="X57" i="20" s="1"/>
  <c r="R21" i="20"/>
  <c r="R22" i="20" s="1"/>
  <c r="I36" i="12"/>
  <c r="I37" i="12" s="1"/>
  <c r="I38" i="12" s="1"/>
  <c r="I39" i="12" s="1"/>
  <c r="J34" i="12"/>
  <c r="J38" i="12"/>
  <c r="J39" i="12" s="1"/>
  <c r="J35" i="12"/>
  <c r="H33" i="12"/>
  <c r="H34" i="12" s="1"/>
  <c r="H35" i="12" s="1"/>
  <c r="H37" i="12" s="1"/>
  <c r="H38" i="12" s="1"/>
  <c r="H39" i="12" s="1"/>
  <c r="F40" i="12"/>
  <c r="G40" i="12" s="1"/>
  <c r="K33" i="12"/>
  <c r="K35" i="12" s="1"/>
  <c r="K39" i="12" s="1"/>
  <c r="I24" i="12"/>
  <c r="K16" i="12"/>
  <c r="K17" i="12" s="1"/>
  <c r="Q11" i="12"/>
  <c r="R11" i="12" s="1"/>
  <c r="Q16" i="12"/>
  <c r="R16" i="12" s="1"/>
  <c r="Q20" i="12"/>
  <c r="R20" i="12" s="1"/>
  <c r="Q19" i="12"/>
  <c r="R19" i="12" s="1"/>
  <c r="Q18" i="12"/>
  <c r="R18" i="12" s="1"/>
  <c r="Q17" i="12"/>
  <c r="Q14" i="12"/>
  <c r="R14" i="12" s="1"/>
  <c r="Q13" i="12"/>
  <c r="R13" i="12" s="1"/>
  <c r="Q12" i="12"/>
  <c r="O32" i="20" l="1"/>
  <c r="O32" i="21"/>
  <c r="R17" i="12"/>
  <c r="R12" i="12"/>
  <c r="R21" i="12" s="1"/>
  <c r="F21" i="12" l="1"/>
  <c r="E21" i="12"/>
  <c r="R22" i="12" s="1"/>
  <c r="J11" i="12"/>
  <c r="J12" i="12" s="1"/>
  <c r="J13" i="12" s="1"/>
  <c r="H16" i="12"/>
  <c r="H17" i="12" s="1"/>
  <c r="H18" i="12" s="1"/>
  <c r="H19" i="12" s="1"/>
  <c r="K11" i="12"/>
  <c r="K12" i="12" s="1"/>
  <c r="I12" i="12"/>
  <c r="I13" i="12" s="1"/>
  <c r="I14" i="12" s="1"/>
  <c r="H11" i="12"/>
  <c r="H12" i="12" s="1"/>
  <c r="H13" i="12" s="1"/>
  <c r="H14" i="12" s="1"/>
  <c r="G7" i="12"/>
  <c r="G5" i="12"/>
  <c r="G6" i="12"/>
  <c r="G8" i="12"/>
  <c r="G3" i="12"/>
  <c r="G2" i="12"/>
  <c r="G21" i="12" l="1"/>
</calcChain>
</file>

<file path=xl/sharedStrings.xml><?xml version="1.0" encoding="utf-8"?>
<sst xmlns="http://schemas.openxmlformats.org/spreadsheetml/2006/main" count="454" uniqueCount="32">
  <si>
    <t>Rech</t>
  </si>
  <si>
    <t>Act</t>
  </si>
  <si>
    <t>Dmg</t>
  </si>
  <si>
    <t>DPS</t>
  </si>
  <si>
    <t>DPA</t>
  </si>
  <si>
    <t>Zapp</t>
  </si>
  <si>
    <t>Ball Lightning</t>
  </si>
  <si>
    <t>C</t>
  </si>
  <si>
    <t>F</t>
  </si>
  <si>
    <t>ATBE</t>
  </si>
  <si>
    <t>Chance</t>
  </si>
  <si>
    <t>Total DPS</t>
  </si>
  <si>
    <t>AoE</t>
  </si>
  <si>
    <t>Stalkers Guile Chance to Hide proc in AS</t>
  </si>
  <si>
    <t>Average Damage</t>
  </si>
  <si>
    <t>Assassins Frenzy</t>
  </si>
  <si>
    <t>Dark Blast</t>
  </si>
  <si>
    <t>Rending Fury</t>
  </si>
  <si>
    <t>Hemorrhage</t>
  </si>
  <si>
    <t>Savage Leap</t>
  </si>
  <si>
    <t>Maiming Slash</t>
  </si>
  <si>
    <t>Shred</t>
  </si>
  <si>
    <t>x</t>
  </si>
  <si>
    <t>Achilles' Heel Proc in Shred</t>
  </si>
  <si>
    <t>Blood Frenzy Stacks</t>
  </si>
  <si>
    <t>Avg</t>
  </si>
  <si>
    <t>xx</t>
  </si>
  <si>
    <t>Water Spout</t>
  </si>
  <si>
    <t>Basic Damage:</t>
  </si>
  <si>
    <t>Each 3.5PPM Proc:</t>
  </si>
  <si>
    <t>ROUGH Average Additional Damage =</t>
  </si>
  <si>
    <t>with Water Spout)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</si>
</sst>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%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C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theme="2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Font="1"/>
    <xf numFmtId="0" fontId="8" fillId="0" borderId="0" xfId="0" applyFont="1"/>
    <xf numFmtId="0" fontId="9" fillId="2" borderId="0" xfId="0" applyFont="1" applyFill="1" applyAlignment="1">
      <alignment horizontal="center"/>
    </xf>
    <xf numFmtId="0" fontId="10" fillId="0" borderId="0" xfId="0" applyFont="1"/>
    <xf numFmtId="0" fontId="8" fillId="0" borderId="0" xfId="0" applyFont="1" applyAlignment="1">
      <alignment horizontal="right"/>
    </xf>
    <xf numFmtId="10" fontId="8" fillId="0" borderId="0" xfId="0" applyNumberFormat="1" applyFont="1"/>
    <xf numFmtId="0" fontId="0" fillId="0" borderId="0" xfId="0" applyAlignment="1">
      <alignment horizontal="right"/>
    </xf>
    <xf numFmtId="0" fontId="11" fillId="0" borderId="0" xfId="0" applyFont="1"/>
    <xf numFmtId="9" fontId="0" fillId="0" borderId="0" xfId="0" applyNumberFormat="1"/>
    <xf numFmtId="0" fontId="12" fillId="0" borderId="0" xfId="0" applyFont="1"/>
    <xf numFmtId="10" fontId="0" fillId="0" borderId="0" xfId="0" applyNumberFormat="1"/>
    <xf numFmtId="0" fontId="13" fillId="0" borderId="0" xfId="0" applyFont="1"/>
    <xf numFmtId="164" fontId="7" fillId="0" borderId="0" xfId="0" applyNumberFormat="1" applyFont="1"/>
    <xf numFmtId="0" fontId="14" fillId="0" borderId="0" xfId="0" applyFon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zoomScale="85" zoomScaleNormal="85" workbookViewId="0">
      <selection activeCell="K8" sqref="K8"/>
    </sheetView>
  </sheetViews>
  <sheetFormatPr defaultRowHeight="15" x14ac:dyDescent="0.25"/>
  <cols>
    <col min="3" max="3" width="16.28515625" bestFit="1" customWidth="1"/>
  </cols>
  <sheetData>
    <row r="1" spans="1:18" x14ac:dyDescent="0.25">
      <c r="D1" t="s">
        <v>0</v>
      </c>
      <c r="E1" t="s">
        <v>1</v>
      </c>
      <c r="F1" t="s">
        <v>2</v>
      </c>
      <c r="G1" t="s">
        <v>4</v>
      </c>
    </row>
    <row r="2" spans="1:18" x14ac:dyDescent="0.25">
      <c r="C2" s="2" t="s">
        <v>15</v>
      </c>
      <c r="D2" s="2">
        <v>4.22</v>
      </c>
      <c r="E2" s="2">
        <v>1.1879999999999999</v>
      </c>
      <c r="F2" s="2">
        <v>423.8</v>
      </c>
      <c r="G2" s="2">
        <f t="shared" ref="G2:G8" si="0">F2/E2</f>
        <v>356.73400673400675</v>
      </c>
      <c r="H2" s="8">
        <v>1</v>
      </c>
      <c r="J2" s="12"/>
      <c r="N2" s="9"/>
    </row>
    <row r="3" spans="1:18" x14ac:dyDescent="0.25">
      <c r="C3" s="6" t="s">
        <v>16</v>
      </c>
      <c r="D3" s="6">
        <v>2.4900000000000002</v>
      </c>
      <c r="E3" s="6">
        <v>1.1879999999999999</v>
      </c>
      <c r="F3" s="6">
        <v>362</v>
      </c>
      <c r="G3" s="6">
        <f t="shared" si="0"/>
        <v>304.71380471380473</v>
      </c>
      <c r="H3" s="8">
        <v>2</v>
      </c>
      <c r="J3" s="12"/>
      <c r="N3" s="9"/>
    </row>
    <row r="4" spans="1:18" x14ac:dyDescent="0.25">
      <c r="C4" t="s">
        <v>19</v>
      </c>
      <c r="D4">
        <v>13.22</v>
      </c>
      <c r="E4">
        <v>1.32</v>
      </c>
      <c r="F4">
        <v>350.3</v>
      </c>
      <c r="G4">
        <f t="shared" si="0"/>
        <v>265.37878787878788</v>
      </c>
      <c r="H4" s="8">
        <v>3</v>
      </c>
      <c r="I4" t="s">
        <v>12</v>
      </c>
      <c r="N4" s="9"/>
    </row>
    <row r="5" spans="1:18" x14ac:dyDescent="0.25">
      <c r="C5" s="3" t="s">
        <v>20</v>
      </c>
      <c r="D5" s="3">
        <v>1.91</v>
      </c>
      <c r="E5" s="3">
        <v>1.32</v>
      </c>
      <c r="F5" s="3">
        <v>339.7</v>
      </c>
      <c r="G5" s="3">
        <f t="shared" si="0"/>
        <v>257.34848484848482</v>
      </c>
      <c r="H5" s="8">
        <v>4</v>
      </c>
    </row>
    <row r="6" spans="1:18" x14ac:dyDescent="0.25">
      <c r="C6" s="4" t="s">
        <v>18</v>
      </c>
      <c r="D6" s="4">
        <v>4.3600000000000003</v>
      </c>
      <c r="E6" s="4">
        <v>2.2440000000000002</v>
      </c>
      <c r="F6" s="4">
        <v>498.8</v>
      </c>
      <c r="G6" s="4">
        <f t="shared" si="0"/>
        <v>222.28163992869872</v>
      </c>
      <c r="H6" s="8">
        <v>5</v>
      </c>
    </row>
    <row r="7" spans="1:18" x14ac:dyDescent="0.25">
      <c r="C7" s="1" t="s">
        <v>21</v>
      </c>
      <c r="D7" s="1">
        <v>2.38</v>
      </c>
      <c r="E7" s="1">
        <v>2.3759999999999999</v>
      </c>
      <c r="F7" s="1">
        <v>261.89999999999998</v>
      </c>
      <c r="G7" s="1">
        <f t="shared" si="0"/>
        <v>110.22727272727272</v>
      </c>
      <c r="H7" s="8">
        <v>6</v>
      </c>
      <c r="I7" t="s">
        <v>12</v>
      </c>
      <c r="J7" t="s">
        <v>22</v>
      </c>
      <c r="P7" s="7" t="s">
        <v>13</v>
      </c>
    </row>
    <row r="8" spans="1:18" x14ac:dyDescent="0.25">
      <c r="C8" s="5" t="s">
        <v>17</v>
      </c>
      <c r="D8" s="5">
        <v>3.88</v>
      </c>
      <c r="E8" s="5">
        <v>2.3759999999999999</v>
      </c>
      <c r="F8" s="5">
        <v>217.4</v>
      </c>
      <c r="G8" s="5">
        <f t="shared" si="0"/>
        <v>91.498316498316498</v>
      </c>
      <c r="H8" s="5">
        <v>7</v>
      </c>
      <c r="I8" t="s">
        <v>12</v>
      </c>
      <c r="P8" s="9"/>
      <c r="Q8" s="13">
        <v>0.741475</v>
      </c>
      <c r="R8" s="9" t="s">
        <v>10</v>
      </c>
    </row>
    <row r="11" spans="1:18" x14ac:dyDescent="0.25">
      <c r="B11" s="10" t="s">
        <v>7</v>
      </c>
      <c r="C11" s="2" t="s">
        <v>15</v>
      </c>
      <c r="D11" s="2">
        <v>4.22</v>
      </c>
      <c r="E11" s="2">
        <v>1.1879999999999999</v>
      </c>
      <c r="F11" s="2">
        <f>(797.4*A18*A19*A20)+(672.9*(1-(A18*A19*A20)-((1-A18)*(1-A20))))+(548.3*(1-A18)*(1-A20))</f>
        <v>735.14374999999995</v>
      </c>
      <c r="G11" s="2"/>
      <c r="H11" s="2">
        <f>D11</f>
        <v>4.22</v>
      </c>
      <c r="I11" s="6"/>
      <c r="J11" s="4">
        <f>J20-E11</f>
        <v>1.8520000000000001</v>
      </c>
      <c r="K11" s="3">
        <f>K20-E11</f>
        <v>0.72199999999999998</v>
      </c>
      <c r="P11" s="11"/>
      <c r="Q11">
        <f>F11</f>
        <v>735.14374999999995</v>
      </c>
      <c r="R11" s="15">
        <f t="shared" ref="R11:R20" si="1">(P11+Q11)</f>
        <v>735.14374999999995</v>
      </c>
    </row>
    <row r="12" spans="1:18" x14ac:dyDescent="0.25">
      <c r="C12" s="6" t="s">
        <v>16</v>
      </c>
      <c r="D12" s="6">
        <v>2.4900000000000002</v>
      </c>
      <c r="E12" s="6">
        <v>1.1879999999999999</v>
      </c>
      <c r="F12" s="6">
        <v>362</v>
      </c>
      <c r="G12" s="6"/>
      <c r="H12" s="2">
        <f>H11-E12</f>
        <v>3.032</v>
      </c>
      <c r="I12" s="6">
        <f>D12</f>
        <v>2.4900000000000002</v>
      </c>
      <c r="J12" s="4">
        <f>J11-E12</f>
        <v>0.66400000000000015</v>
      </c>
      <c r="K12" s="3">
        <f>K11-E12</f>
        <v>-0.46599999999999997</v>
      </c>
      <c r="P12">
        <f>499.5*Q$8</f>
        <v>370.36676249999999</v>
      </c>
      <c r="Q12">
        <f>(1-Q$8)*F12</f>
        <v>93.58605</v>
      </c>
      <c r="R12" s="15">
        <f t="shared" si="1"/>
        <v>463.95281249999999</v>
      </c>
    </row>
    <row r="13" spans="1:18" x14ac:dyDescent="0.25">
      <c r="A13" s="16">
        <v>0.75</v>
      </c>
      <c r="B13" t="s">
        <v>8</v>
      </c>
      <c r="C13" s="3" t="s">
        <v>20</v>
      </c>
      <c r="D13" s="3">
        <v>1.91</v>
      </c>
      <c r="E13" s="3">
        <v>1.32</v>
      </c>
      <c r="F13" s="3">
        <v>339.7</v>
      </c>
      <c r="H13" s="2">
        <f>H12-E13</f>
        <v>1.712</v>
      </c>
      <c r="I13" s="6">
        <f>I12-E13</f>
        <v>1.1700000000000002</v>
      </c>
      <c r="J13" s="4">
        <f>J12-E13</f>
        <v>-0.65599999999999992</v>
      </c>
      <c r="K13" s="3">
        <f>D13</f>
        <v>1.91</v>
      </c>
      <c r="Q13">
        <f>F13</f>
        <v>339.7</v>
      </c>
      <c r="R13" s="15">
        <f t="shared" si="1"/>
        <v>339.7</v>
      </c>
    </row>
    <row r="14" spans="1:18" x14ac:dyDescent="0.25">
      <c r="A14" s="16">
        <v>1</v>
      </c>
      <c r="B14" t="s">
        <v>8</v>
      </c>
      <c r="C14" s="4" t="s">
        <v>18</v>
      </c>
      <c r="D14" s="4">
        <v>4.3600000000000003</v>
      </c>
      <c r="E14" s="4">
        <v>2.2440000000000002</v>
      </c>
      <c r="F14" s="4">
        <v>498.8</v>
      </c>
      <c r="G14" s="1"/>
      <c r="H14" s="2">
        <f>H13-E14</f>
        <v>-0.53200000000000025</v>
      </c>
      <c r="I14" s="6">
        <f>I13-E14</f>
        <v>-1.0740000000000001</v>
      </c>
      <c r="J14" s="4">
        <f>D14</f>
        <v>4.3600000000000003</v>
      </c>
      <c r="K14" s="3">
        <f>K13-E14</f>
        <v>-0.3340000000000003</v>
      </c>
      <c r="Q14">
        <f>F14</f>
        <v>498.8</v>
      </c>
      <c r="R14" s="15">
        <f t="shared" si="1"/>
        <v>498.8</v>
      </c>
    </row>
    <row r="15" spans="1:18" x14ac:dyDescent="0.25">
      <c r="A15" s="16">
        <v>0.75</v>
      </c>
      <c r="B15" t="s">
        <v>8</v>
      </c>
      <c r="C15" s="3" t="s">
        <v>20</v>
      </c>
      <c r="D15" s="3">
        <v>1.91</v>
      </c>
      <c r="E15" s="3">
        <v>1.32</v>
      </c>
      <c r="F15" s="3">
        <v>339.7</v>
      </c>
      <c r="H15" s="2"/>
      <c r="I15" s="6"/>
      <c r="J15" s="4">
        <f>J14-E15</f>
        <v>3.04</v>
      </c>
      <c r="K15" s="3">
        <f>D15</f>
        <v>1.91</v>
      </c>
      <c r="Q15">
        <f>F15</f>
        <v>339.7</v>
      </c>
      <c r="R15" s="15">
        <f t="shared" si="1"/>
        <v>339.7</v>
      </c>
    </row>
    <row r="16" spans="1:18" x14ac:dyDescent="0.25">
      <c r="B16" s="10" t="s">
        <v>7</v>
      </c>
      <c r="C16" s="2" t="s">
        <v>15</v>
      </c>
      <c r="D16" s="2">
        <v>4.22</v>
      </c>
      <c r="E16" s="2">
        <v>1.1879999999999999</v>
      </c>
      <c r="F16" s="2">
        <f>(797.4*A13*A14*A15)+(672.9*(1-(A13*A14*A15)-((1-A13)*(1-A15))))+(548.3*(1-A13)*(1-A15))</f>
        <v>735.14374999999995</v>
      </c>
      <c r="G16" s="2"/>
      <c r="H16" s="2">
        <f>D16</f>
        <v>4.22</v>
      </c>
      <c r="I16" s="6"/>
      <c r="J16" s="4">
        <f>J15-E16</f>
        <v>1.8520000000000001</v>
      </c>
      <c r="K16" s="3">
        <f>K15-E16</f>
        <v>0.72199999999999998</v>
      </c>
      <c r="Q16">
        <f>F16</f>
        <v>735.14374999999995</v>
      </c>
      <c r="R16" s="15">
        <f t="shared" si="1"/>
        <v>735.14374999999995</v>
      </c>
    </row>
    <row r="17" spans="1:19" x14ac:dyDescent="0.25">
      <c r="C17" s="6" t="s">
        <v>16</v>
      </c>
      <c r="D17" s="6">
        <v>2.4900000000000002</v>
      </c>
      <c r="E17" s="6">
        <v>1.1879999999999999</v>
      </c>
      <c r="F17" s="6">
        <v>362</v>
      </c>
      <c r="G17" s="5"/>
      <c r="H17" s="2">
        <f>H16-E17</f>
        <v>3.032</v>
      </c>
      <c r="I17" s="6">
        <f>D17</f>
        <v>2.4900000000000002</v>
      </c>
      <c r="J17" s="4">
        <f>J16-E17</f>
        <v>0.66400000000000015</v>
      </c>
      <c r="K17" s="3">
        <f>K16-E17</f>
        <v>-0.46599999999999997</v>
      </c>
      <c r="P17">
        <f>499.5*Q$8</f>
        <v>370.36676249999999</v>
      </c>
      <c r="Q17">
        <f>(1-Q$8)*F17</f>
        <v>93.58605</v>
      </c>
      <c r="R17" s="15">
        <f t="shared" si="1"/>
        <v>463.95281249999999</v>
      </c>
    </row>
    <row r="18" spans="1:19" x14ac:dyDescent="0.25">
      <c r="A18" s="16">
        <v>0.75</v>
      </c>
      <c r="B18" t="s">
        <v>8</v>
      </c>
      <c r="C18" s="3" t="s">
        <v>20</v>
      </c>
      <c r="D18" s="3">
        <v>1.91</v>
      </c>
      <c r="E18" s="3">
        <v>1.32</v>
      </c>
      <c r="F18" s="3">
        <v>339.7</v>
      </c>
      <c r="H18" s="2">
        <f>H17-E18</f>
        <v>1.712</v>
      </c>
      <c r="I18" s="6">
        <f>I17-E18</f>
        <v>1.1700000000000002</v>
      </c>
      <c r="J18" s="4">
        <f>J17-E18</f>
        <v>-0.65599999999999992</v>
      </c>
      <c r="K18" s="3">
        <f>D18</f>
        <v>1.91</v>
      </c>
      <c r="Q18">
        <f>F18</f>
        <v>339.7</v>
      </c>
      <c r="R18" s="15">
        <f t="shared" si="1"/>
        <v>339.7</v>
      </c>
    </row>
    <row r="19" spans="1:19" x14ac:dyDescent="0.25">
      <c r="A19" s="16">
        <v>1</v>
      </c>
      <c r="B19" t="s">
        <v>8</v>
      </c>
      <c r="C19" s="4" t="s">
        <v>18</v>
      </c>
      <c r="D19" s="4">
        <v>4.3600000000000003</v>
      </c>
      <c r="E19" s="4">
        <v>2.2440000000000002</v>
      </c>
      <c r="F19" s="4">
        <v>498.8</v>
      </c>
      <c r="G19" s="1"/>
      <c r="H19" s="2">
        <f>H18-E19</f>
        <v>-0.53200000000000025</v>
      </c>
      <c r="I19" s="6">
        <f>I18-E19</f>
        <v>-1.0740000000000001</v>
      </c>
      <c r="J19" s="4">
        <f>D19</f>
        <v>4.3600000000000003</v>
      </c>
      <c r="K19" s="3">
        <f>K18-E19</f>
        <v>-0.3340000000000003</v>
      </c>
      <c r="Q19">
        <f>F19</f>
        <v>498.8</v>
      </c>
      <c r="R19" s="15">
        <f t="shared" si="1"/>
        <v>498.8</v>
      </c>
    </row>
    <row r="20" spans="1:19" x14ac:dyDescent="0.25">
      <c r="A20" s="16">
        <v>0.75</v>
      </c>
      <c r="B20" t="s">
        <v>8</v>
      </c>
      <c r="C20" s="3" t="s">
        <v>20</v>
      </c>
      <c r="D20" s="3">
        <v>1.91</v>
      </c>
      <c r="E20" s="3">
        <v>1.32</v>
      </c>
      <c r="F20" s="3">
        <v>339.7</v>
      </c>
      <c r="H20" s="2"/>
      <c r="I20" s="6"/>
      <c r="J20" s="4">
        <f>J19-E20</f>
        <v>3.04</v>
      </c>
      <c r="K20" s="3">
        <f>D20</f>
        <v>1.91</v>
      </c>
      <c r="Q20">
        <f>F20</f>
        <v>339.7</v>
      </c>
      <c r="R20" s="15">
        <f t="shared" si="1"/>
        <v>339.7</v>
      </c>
    </row>
    <row r="21" spans="1:19" x14ac:dyDescent="0.25">
      <c r="E21" s="9">
        <f>SUM(E11:E20)</f>
        <v>14.520000000000001</v>
      </c>
      <c r="F21" s="9">
        <f>SUM(F11:F20)</f>
        <v>4550.6875</v>
      </c>
      <c r="G21" s="7">
        <f>F21/E21</f>
        <v>313.4082300275482</v>
      </c>
      <c r="H21" s="7" t="s">
        <v>3</v>
      </c>
      <c r="R21" s="9">
        <f>SUM(R11:R20)</f>
        <v>4754.5931249999994</v>
      </c>
      <c r="S21" s="7" t="s">
        <v>14</v>
      </c>
    </row>
    <row r="22" spans="1:19" x14ac:dyDescent="0.25">
      <c r="R22" s="7">
        <f>R21/E21</f>
        <v>327.45131714876027</v>
      </c>
      <c r="S22" s="7" t="s">
        <v>11</v>
      </c>
    </row>
    <row r="24" spans="1:19" x14ac:dyDescent="0.25">
      <c r="B24" s="10" t="s">
        <v>7</v>
      </c>
      <c r="C24" s="2" t="s">
        <v>15</v>
      </c>
      <c r="D24" s="2">
        <v>4.22</v>
      </c>
      <c r="E24" s="2">
        <v>1.1879999999999999</v>
      </c>
      <c r="F24" s="2">
        <f>(672.9*A38*A39)+(548.3*(1-(A38*A39)-((1-A38)*(1-A39))))+(423.8*(1-A38)*(1-A39))</f>
        <v>626.80100000000004</v>
      </c>
      <c r="G24" s="2"/>
      <c r="H24" s="2">
        <f>D24</f>
        <v>4.22</v>
      </c>
      <c r="I24" s="4">
        <f>I33-E24</f>
        <v>-0.5239999999999998</v>
      </c>
      <c r="K24" s="3"/>
      <c r="L24" s="1">
        <f>L39-E24</f>
        <v>1.1919999999999999</v>
      </c>
      <c r="P24" s="11"/>
      <c r="Q24">
        <f>F24</f>
        <v>626.80100000000004</v>
      </c>
      <c r="R24" s="15">
        <f t="shared" ref="R24:R27" si="2">(P24+Q24)</f>
        <v>626.80100000000004</v>
      </c>
    </row>
    <row r="25" spans="1:19" x14ac:dyDescent="0.25">
      <c r="A25" s="16">
        <v>1</v>
      </c>
      <c r="B25" t="s">
        <v>8</v>
      </c>
      <c r="C25" s="4" t="s">
        <v>18</v>
      </c>
      <c r="D25" s="4">
        <v>4.3600000000000003</v>
      </c>
      <c r="E25" s="4">
        <v>2.2440000000000002</v>
      </c>
      <c r="F25" s="4">
        <v>498.8</v>
      </c>
      <c r="G25" s="6"/>
      <c r="H25" s="2">
        <f>H24-E25</f>
        <v>1.9759999999999995</v>
      </c>
      <c r="I25" s="4">
        <f>D25</f>
        <v>4.3600000000000003</v>
      </c>
      <c r="J25" s="6"/>
      <c r="K25" s="3"/>
      <c r="L25" s="1">
        <f>L24-E25</f>
        <v>-1.0520000000000003</v>
      </c>
      <c r="P25">
        <f>831.4*Q$8</f>
        <v>616.46231499999999</v>
      </c>
      <c r="Q25">
        <f>(1-Q$8)*F25</f>
        <v>128.95227</v>
      </c>
      <c r="R25" s="15">
        <f t="shared" si="2"/>
        <v>745.41458499999999</v>
      </c>
    </row>
    <row r="26" spans="1:19" x14ac:dyDescent="0.25">
      <c r="A26" s="16"/>
      <c r="C26" s="6" t="s">
        <v>16</v>
      </c>
      <c r="D26" s="6">
        <v>2.4900000000000002</v>
      </c>
      <c r="E26" s="6">
        <v>1.1879999999999999</v>
      </c>
      <c r="F26" s="6">
        <v>362</v>
      </c>
      <c r="H26" s="2">
        <f>H25-E26</f>
        <v>0.78799999999999959</v>
      </c>
      <c r="I26" s="4">
        <f>I25-E26</f>
        <v>3.1720000000000006</v>
      </c>
      <c r="J26" s="6">
        <f>D26</f>
        <v>2.4900000000000002</v>
      </c>
      <c r="K26" s="3"/>
      <c r="Q26">
        <f>F26</f>
        <v>362</v>
      </c>
      <c r="R26" s="15">
        <f t="shared" si="2"/>
        <v>362</v>
      </c>
    </row>
    <row r="27" spans="1:19" x14ac:dyDescent="0.25">
      <c r="A27" s="16">
        <v>0.75</v>
      </c>
      <c r="B27" t="s">
        <v>8</v>
      </c>
      <c r="C27" s="3" t="s">
        <v>20</v>
      </c>
      <c r="D27" s="3">
        <v>1.91</v>
      </c>
      <c r="E27" s="3">
        <v>1.32</v>
      </c>
      <c r="F27" s="3">
        <v>339.7</v>
      </c>
      <c r="G27" s="1"/>
      <c r="H27" s="2">
        <f>H26-E27</f>
        <v>-0.53200000000000047</v>
      </c>
      <c r="I27" s="4">
        <f>I26-E27</f>
        <v>1.8520000000000005</v>
      </c>
      <c r="J27" s="6">
        <f>J26-E27</f>
        <v>1.1700000000000002</v>
      </c>
      <c r="K27" s="3">
        <f>D27</f>
        <v>1.91</v>
      </c>
      <c r="Q27">
        <f>F27</f>
        <v>339.7</v>
      </c>
      <c r="R27" s="15">
        <f t="shared" si="2"/>
        <v>339.7</v>
      </c>
    </row>
    <row r="28" spans="1:19" x14ac:dyDescent="0.25">
      <c r="A28" s="16"/>
      <c r="B28" s="10" t="s">
        <v>7</v>
      </c>
      <c r="C28" s="2" t="s">
        <v>15</v>
      </c>
      <c r="D28" s="2">
        <v>4.22</v>
      </c>
      <c r="E28" s="2">
        <v>1.1879999999999999</v>
      </c>
      <c r="F28" s="2">
        <f>(672.9*A27)+(548.3*(1-A27))</f>
        <v>641.75</v>
      </c>
      <c r="H28" s="2">
        <f>D28</f>
        <v>4.22</v>
      </c>
      <c r="I28" s="4">
        <f>I27-E28</f>
        <v>0.66400000000000059</v>
      </c>
      <c r="J28" s="6">
        <f>J27-E28</f>
        <v>-1.7999999999999794E-2</v>
      </c>
      <c r="K28" s="3">
        <f>K27-E28</f>
        <v>0.72199999999999998</v>
      </c>
      <c r="P28" s="11"/>
      <c r="Q28">
        <f>F28</f>
        <v>641.75</v>
      </c>
      <c r="R28" s="15">
        <f t="shared" ref="R28:R31" si="3">(P28+Q28)</f>
        <v>641.75</v>
      </c>
    </row>
    <row r="29" spans="1:19" x14ac:dyDescent="0.25">
      <c r="C29" s="6" t="s">
        <v>16</v>
      </c>
      <c r="D29" s="6">
        <v>2.4900000000000002</v>
      </c>
      <c r="E29" s="6">
        <v>1.1879999999999999</v>
      </c>
      <c r="F29" s="6">
        <v>362</v>
      </c>
      <c r="G29" s="2"/>
      <c r="H29" s="2">
        <f>H28-E29</f>
        <v>3.032</v>
      </c>
      <c r="I29" s="4">
        <f>I28-E29</f>
        <v>-0.52399999999999936</v>
      </c>
      <c r="J29" s="6">
        <f>D29</f>
        <v>2.4900000000000002</v>
      </c>
      <c r="K29" s="3">
        <f>K28-E29</f>
        <v>-0.46599999999999997</v>
      </c>
      <c r="P29">
        <f>499.5*Q$8</f>
        <v>370.36676249999999</v>
      </c>
      <c r="Q29">
        <f>(1-Q$8)*F29</f>
        <v>93.58605</v>
      </c>
      <c r="R29" s="15">
        <f t="shared" si="3"/>
        <v>463.95281249999999</v>
      </c>
    </row>
    <row r="30" spans="1:19" x14ac:dyDescent="0.25">
      <c r="A30" s="16">
        <v>1</v>
      </c>
      <c r="B30" t="s">
        <v>8</v>
      </c>
      <c r="C30" s="4" t="s">
        <v>18</v>
      </c>
      <c r="D30" s="4">
        <v>4.3600000000000003</v>
      </c>
      <c r="E30" s="4">
        <v>2.2440000000000002</v>
      </c>
      <c r="F30" s="4">
        <v>498.8</v>
      </c>
      <c r="G30" s="5"/>
      <c r="H30" s="2">
        <f>H29-E30</f>
        <v>0.78799999999999981</v>
      </c>
      <c r="I30" s="4">
        <f>D30</f>
        <v>4.3600000000000003</v>
      </c>
      <c r="J30" s="6">
        <f>J29-E30</f>
        <v>0.246</v>
      </c>
      <c r="K30" s="3"/>
      <c r="Q30">
        <f>F30</f>
        <v>498.8</v>
      </c>
      <c r="R30" s="15">
        <f t="shared" si="3"/>
        <v>498.8</v>
      </c>
    </row>
    <row r="31" spans="1:19" x14ac:dyDescent="0.25">
      <c r="A31" s="16">
        <v>0.75</v>
      </c>
      <c r="B31" t="s">
        <v>8</v>
      </c>
      <c r="C31" s="3" t="s">
        <v>20</v>
      </c>
      <c r="D31" s="3">
        <v>1.91</v>
      </c>
      <c r="E31" s="3">
        <v>1.32</v>
      </c>
      <c r="F31" s="3">
        <v>339.7</v>
      </c>
      <c r="H31" s="2">
        <f>H30-E31</f>
        <v>-0.53200000000000025</v>
      </c>
      <c r="I31" s="4">
        <f>I30-E31</f>
        <v>3.04</v>
      </c>
      <c r="J31" s="6">
        <f>J30-E31</f>
        <v>-1.0740000000000001</v>
      </c>
      <c r="K31" s="3">
        <f>D31</f>
        <v>1.91</v>
      </c>
      <c r="Q31">
        <f>F31</f>
        <v>339.7</v>
      </c>
      <c r="R31" s="15">
        <f t="shared" si="3"/>
        <v>339.7</v>
      </c>
    </row>
    <row r="32" spans="1:19" x14ac:dyDescent="0.25">
      <c r="A32" s="16"/>
      <c r="B32" s="10" t="s">
        <v>7</v>
      </c>
      <c r="C32" s="2" t="s">
        <v>15</v>
      </c>
      <c r="D32" s="2">
        <v>4.22</v>
      </c>
      <c r="E32" s="2">
        <v>1.1879999999999999</v>
      </c>
      <c r="F32" s="2">
        <f>(672.9*A31)+(548.3*(1-A31))</f>
        <v>641.75</v>
      </c>
      <c r="G32" s="1"/>
      <c r="H32" s="2">
        <f>D32</f>
        <v>4.22</v>
      </c>
      <c r="I32" s="4">
        <f>I31-E32</f>
        <v>1.8520000000000001</v>
      </c>
      <c r="J32" s="6"/>
      <c r="K32" s="3">
        <f>K31-E32</f>
        <v>0.72199999999999998</v>
      </c>
      <c r="P32" s="11"/>
      <c r="Q32">
        <f>F32</f>
        <v>641.75</v>
      </c>
      <c r="R32" s="15">
        <f t="shared" ref="R32:R35" si="4">(P32+Q32)</f>
        <v>641.75</v>
      </c>
    </row>
    <row r="33" spans="1:19" x14ac:dyDescent="0.25">
      <c r="A33" s="16"/>
      <c r="C33" s="6" t="s">
        <v>16</v>
      </c>
      <c r="D33" s="6">
        <v>2.4900000000000002</v>
      </c>
      <c r="E33" s="6">
        <v>1.1879999999999999</v>
      </c>
      <c r="F33" s="6">
        <v>362</v>
      </c>
      <c r="H33" s="2">
        <f t="shared" ref="H33:H39" si="5">H32-E33</f>
        <v>3.032</v>
      </c>
      <c r="I33" s="4">
        <f t="shared" ref="I33:I39" si="6">I32-E33</f>
        <v>0.66400000000000015</v>
      </c>
      <c r="J33" s="6">
        <f>D33</f>
        <v>2.4900000000000002</v>
      </c>
      <c r="K33" s="3">
        <f t="shared" ref="K33:K39" si="7">K32-E33</f>
        <v>-0.46599999999999997</v>
      </c>
      <c r="P33">
        <f>499.5*Q$8</f>
        <v>370.36676249999999</v>
      </c>
      <c r="Q33">
        <f>(1-Q$8)*F33</f>
        <v>93.58605</v>
      </c>
      <c r="R33" s="15">
        <f t="shared" si="4"/>
        <v>463.95281249999999</v>
      </c>
    </row>
    <row r="34" spans="1:19" x14ac:dyDescent="0.25">
      <c r="A34" s="16">
        <v>0.75</v>
      </c>
      <c r="B34" t="s">
        <v>8</v>
      </c>
      <c r="C34" s="3" t="s">
        <v>20</v>
      </c>
      <c r="D34" s="3">
        <v>1.91</v>
      </c>
      <c r="E34" s="3">
        <v>1.32</v>
      </c>
      <c r="F34" s="3">
        <v>339.7</v>
      </c>
      <c r="G34" s="7"/>
      <c r="H34" s="2">
        <f t="shared" si="5"/>
        <v>1.712</v>
      </c>
      <c r="I34" s="4">
        <f t="shared" si="6"/>
        <v>-0.65599999999999992</v>
      </c>
      <c r="J34" s="6">
        <f t="shared" ref="J34:J39" si="8">J33-E34</f>
        <v>1.1700000000000002</v>
      </c>
      <c r="K34" s="3">
        <f>D34</f>
        <v>1.91</v>
      </c>
      <c r="Q34">
        <f>F34</f>
        <v>339.7</v>
      </c>
      <c r="R34" s="15">
        <f t="shared" si="4"/>
        <v>339.7</v>
      </c>
    </row>
    <row r="35" spans="1:19" x14ac:dyDescent="0.25">
      <c r="A35" s="16">
        <v>1</v>
      </c>
      <c r="B35" t="s">
        <v>8</v>
      </c>
      <c r="C35" s="4" t="s">
        <v>18</v>
      </c>
      <c r="D35" s="4">
        <v>4.3600000000000003</v>
      </c>
      <c r="E35" s="4">
        <v>2.2440000000000002</v>
      </c>
      <c r="F35" s="4">
        <v>498.8</v>
      </c>
      <c r="H35" s="2">
        <f t="shared" si="5"/>
        <v>-0.53200000000000025</v>
      </c>
      <c r="I35" s="4">
        <f>D35</f>
        <v>4.3600000000000003</v>
      </c>
      <c r="J35" s="6">
        <f t="shared" si="8"/>
        <v>-1.0740000000000001</v>
      </c>
      <c r="K35" s="3">
        <f t="shared" si="7"/>
        <v>-0.3340000000000003</v>
      </c>
      <c r="Q35">
        <f>F35</f>
        <v>498.8</v>
      </c>
      <c r="R35" s="15">
        <f t="shared" si="4"/>
        <v>498.8</v>
      </c>
    </row>
    <row r="36" spans="1:19" x14ac:dyDescent="0.25">
      <c r="B36" s="10" t="s">
        <v>7</v>
      </c>
      <c r="C36" s="2" t="s">
        <v>15</v>
      </c>
      <c r="D36" s="2">
        <v>4.22</v>
      </c>
      <c r="E36" s="2">
        <v>1.1879999999999999</v>
      </c>
      <c r="F36" s="2">
        <f>(672.9*A34)+(548.3*(1-A34))</f>
        <v>641.75</v>
      </c>
      <c r="H36" s="2">
        <f>D36</f>
        <v>4.22</v>
      </c>
      <c r="I36" s="4">
        <f t="shared" si="6"/>
        <v>3.1720000000000006</v>
      </c>
      <c r="J36" s="6"/>
      <c r="K36" s="3"/>
      <c r="P36" s="11"/>
      <c r="Q36">
        <f>F36</f>
        <v>641.75</v>
      </c>
      <c r="R36" s="15">
        <f t="shared" ref="R36:R37" si="9">(P36+Q36)</f>
        <v>641.75</v>
      </c>
    </row>
    <row r="37" spans="1:19" x14ac:dyDescent="0.25">
      <c r="C37" s="6" t="s">
        <v>16</v>
      </c>
      <c r="D37" s="6">
        <v>2.4900000000000002</v>
      </c>
      <c r="E37" s="6">
        <v>1.1879999999999999</v>
      </c>
      <c r="F37" s="6">
        <v>362</v>
      </c>
      <c r="H37" s="2">
        <f t="shared" si="5"/>
        <v>3.032</v>
      </c>
      <c r="I37" s="4">
        <f t="shared" si="6"/>
        <v>1.9840000000000007</v>
      </c>
      <c r="J37" s="6">
        <f>D37</f>
        <v>2.4900000000000002</v>
      </c>
      <c r="K37" s="3"/>
      <c r="P37">
        <f>499.5*Q$8</f>
        <v>370.36676249999999</v>
      </c>
      <c r="Q37">
        <f>(1-Q$8)*F37</f>
        <v>93.58605</v>
      </c>
      <c r="R37" s="15">
        <f t="shared" si="9"/>
        <v>463.95281249999999</v>
      </c>
    </row>
    <row r="38" spans="1:19" x14ac:dyDescent="0.25">
      <c r="A38" s="16">
        <v>0.75</v>
      </c>
      <c r="B38" t="s">
        <v>8</v>
      </c>
      <c r="C38" s="3" t="s">
        <v>20</v>
      </c>
      <c r="D38" s="3">
        <v>1.91</v>
      </c>
      <c r="E38" s="3">
        <v>1.32</v>
      </c>
      <c r="F38" s="3">
        <v>339.7</v>
      </c>
      <c r="H38" s="2">
        <f t="shared" si="5"/>
        <v>1.712</v>
      </c>
      <c r="I38" s="4">
        <f t="shared" si="6"/>
        <v>0.66400000000000059</v>
      </c>
      <c r="J38" s="6">
        <f t="shared" si="8"/>
        <v>1.1700000000000002</v>
      </c>
      <c r="K38" s="3">
        <f>D38</f>
        <v>1.91</v>
      </c>
      <c r="Q38">
        <f>F38</f>
        <v>339.7</v>
      </c>
      <c r="R38" s="15">
        <f t="shared" ref="R38:R39" si="10">(P38+Q38)</f>
        <v>339.7</v>
      </c>
    </row>
    <row r="39" spans="1:19" x14ac:dyDescent="0.25">
      <c r="A39" s="16">
        <v>0.88</v>
      </c>
      <c r="B39" t="s">
        <v>8</v>
      </c>
      <c r="C39" s="1" t="s">
        <v>21</v>
      </c>
      <c r="D39" s="1">
        <v>2.38</v>
      </c>
      <c r="E39" s="1">
        <v>2.3759999999999999</v>
      </c>
      <c r="F39" s="1">
        <v>261.89999999999998</v>
      </c>
      <c r="H39" s="2">
        <f t="shared" si="5"/>
        <v>-0.66399999999999992</v>
      </c>
      <c r="I39" s="4">
        <f t="shared" si="6"/>
        <v>-1.7119999999999993</v>
      </c>
      <c r="J39" s="6">
        <f t="shared" si="8"/>
        <v>-1.2059999999999997</v>
      </c>
      <c r="K39" s="3">
        <f t="shared" si="7"/>
        <v>-0.46599999999999997</v>
      </c>
      <c r="L39" s="1">
        <f>D39</f>
        <v>2.38</v>
      </c>
      <c r="Q39">
        <f>F39</f>
        <v>261.89999999999998</v>
      </c>
      <c r="R39" s="15">
        <f t="shared" si="10"/>
        <v>261.89999999999998</v>
      </c>
    </row>
    <row r="40" spans="1:19" x14ac:dyDescent="0.25">
      <c r="E40" s="9">
        <f>SUM(E24:E39)</f>
        <v>23.892000000000003</v>
      </c>
      <c r="F40" s="9">
        <f>SUM(F24:F39)</f>
        <v>7117.1509999999998</v>
      </c>
      <c r="G40" s="7">
        <f>F40/E40</f>
        <v>297.88845638707511</v>
      </c>
      <c r="H40" s="7" t="s">
        <v>3</v>
      </c>
      <c r="I40" s="4"/>
      <c r="J40" s="6"/>
      <c r="K40" s="3"/>
      <c r="R40" s="9">
        <f>SUM(R24:R39)</f>
        <v>7669.6240224999992</v>
      </c>
      <c r="S40" s="7" t="s">
        <v>14</v>
      </c>
    </row>
    <row r="41" spans="1:19" x14ac:dyDescent="0.25">
      <c r="R41" s="7">
        <f>R40/E40</f>
        <v>321.0122226058931</v>
      </c>
      <c r="S41" s="7" t="s">
        <v>11</v>
      </c>
    </row>
  </sheetData>
  <sortState ref="C2:G8">
    <sortCondition descending="1" ref="G2:G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="85" zoomScaleNormal="85" workbookViewId="0">
      <selection activeCell="K8" sqref="K8"/>
    </sheetView>
  </sheetViews>
  <sheetFormatPr defaultRowHeight="15" x14ac:dyDescent="0.25"/>
  <cols>
    <col min="3" max="3" width="16.28515625" bestFit="1" customWidth="1"/>
  </cols>
  <sheetData>
    <row r="1" spans="1:18" x14ac:dyDescent="0.25">
      <c r="D1" t="s">
        <v>0</v>
      </c>
      <c r="E1" t="s">
        <v>1</v>
      </c>
      <c r="F1" t="s">
        <v>2</v>
      </c>
      <c r="G1" t="s">
        <v>4</v>
      </c>
    </row>
    <row r="2" spans="1:18" x14ac:dyDescent="0.25">
      <c r="C2" s="2" t="s">
        <v>15</v>
      </c>
      <c r="D2" s="2">
        <v>5.47</v>
      </c>
      <c r="E2" s="2">
        <v>1.1879999999999999</v>
      </c>
      <c r="F2" s="2">
        <v>541.29999999999995</v>
      </c>
      <c r="G2" s="2">
        <f t="shared" ref="G2:G8" si="0">F2/E2</f>
        <v>455.6397306397306</v>
      </c>
      <c r="H2" s="8">
        <v>1</v>
      </c>
      <c r="J2" s="12"/>
      <c r="N2" s="9"/>
    </row>
    <row r="3" spans="1:18" x14ac:dyDescent="0.25">
      <c r="C3" s="6" t="s">
        <v>16</v>
      </c>
      <c r="D3" s="6">
        <v>2.57</v>
      </c>
      <c r="E3" s="6">
        <v>1.1879999999999999</v>
      </c>
      <c r="F3" s="6">
        <v>357.9</v>
      </c>
      <c r="G3" s="6">
        <f t="shared" si="0"/>
        <v>301.26262626262627</v>
      </c>
      <c r="H3" s="8">
        <v>2</v>
      </c>
      <c r="J3" s="12"/>
      <c r="N3" s="9"/>
    </row>
    <row r="4" spans="1:18" x14ac:dyDescent="0.25">
      <c r="C4" t="s">
        <v>19</v>
      </c>
      <c r="D4">
        <v>12.3</v>
      </c>
      <c r="E4">
        <v>1.32</v>
      </c>
      <c r="F4">
        <v>346.7</v>
      </c>
      <c r="G4">
        <f t="shared" si="0"/>
        <v>262.65151515151513</v>
      </c>
      <c r="H4" s="8">
        <v>3</v>
      </c>
      <c r="I4" t="s">
        <v>12</v>
      </c>
      <c r="N4" s="9"/>
    </row>
    <row r="5" spans="1:18" x14ac:dyDescent="0.25">
      <c r="C5" s="3" t="s">
        <v>20</v>
      </c>
      <c r="D5" s="3">
        <v>1.99</v>
      </c>
      <c r="E5" s="3">
        <v>1.32</v>
      </c>
      <c r="F5" s="3">
        <v>336</v>
      </c>
      <c r="G5" s="3">
        <f t="shared" si="0"/>
        <v>254.54545454545453</v>
      </c>
      <c r="H5" s="8">
        <v>4</v>
      </c>
    </row>
    <row r="6" spans="1:18" x14ac:dyDescent="0.25">
      <c r="C6" s="4" t="s">
        <v>18</v>
      </c>
      <c r="D6" s="4">
        <v>4.5</v>
      </c>
      <c r="E6" s="4">
        <v>2.2440000000000002</v>
      </c>
      <c r="F6" s="4">
        <v>493.1</v>
      </c>
      <c r="G6" s="4">
        <f t="shared" si="0"/>
        <v>219.74153297682707</v>
      </c>
      <c r="H6" s="8">
        <v>5</v>
      </c>
    </row>
    <row r="7" spans="1:18" x14ac:dyDescent="0.25">
      <c r="C7" s="1" t="s">
        <v>21</v>
      </c>
      <c r="D7" s="1">
        <v>2.4500000000000002</v>
      </c>
      <c r="E7" s="1">
        <v>2.3759999999999999</v>
      </c>
      <c r="F7" s="1">
        <v>261.2</v>
      </c>
      <c r="G7" s="1">
        <f t="shared" si="0"/>
        <v>109.93265993265993</v>
      </c>
      <c r="H7" s="8">
        <v>6</v>
      </c>
      <c r="I7" t="s">
        <v>12</v>
      </c>
      <c r="J7" t="s">
        <v>22</v>
      </c>
      <c r="P7" s="7" t="s">
        <v>13</v>
      </c>
    </row>
    <row r="8" spans="1:18" x14ac:dyDescent="0.25">
      <c r="C8" s="5" t="s">
        <v>17</v>
      </c>
      <c r="D8" s="5">
        <v>3.99</v>
      </c>
      <c r="E8" s="5">
        <v>2.3759999999999999</v>
      </c>
      <c r="F8" s="5">
        <v>243.9</v>
      </c>
      <c r="G8" s="5">
        <f t="shared" si="0"/>
        <v>102.65151515151516</v>
      </c>
      <c r="H8" s="5">
        <v>7</v>
      </c>
      <c r="I8" t="s">
        <v>12</v>
      </c>
      <c r="P8" s="9"/>
      <c r="Q8" s="13">
        <v>0.9</v>
      </c>
      <c r="R8" s="9" t="s">
        <v>10</v>
      </c>
    </row>
    <row r="11" spans="1:18" x14ac:dyDescent="0.25">
      <c r="B11" s="10" t="s">
        <v>7</v>
      </c>
      <c r="C11" s="2" t="s">
        <v>15</v>
      </c>
      <c r="D11" s="2">
        <v>5.47</v>
      </c>
      <c r="E11" s="2">
        <v>1.1879999999999999</v>
      </c>
      <c r="F11" s="2">
        <f>(903.4*A18*A19*A20)+(782.7*(1-(A18*A19*A20)-((1-A18)*(1-A20))))+(662*(1-A18)*(1-A20))</f>
        <v>843.05</v>
      </c>
      <c r="G11" s="2"/>
      <c r="H11" s="2">
        <f>D11</f>
        <v>5.47</v>
      </c>
      <c r="I11" s="6"/>
      <c r="J11" s="4">
        <f>J20-E11</f>
        <v>1.9919999999999998</v>
      </c>
      <c r="K11" s="3">
        <f>K20-E11</f>
        <v>0.80200000000000005</v>
      </c>
      <c r="Q11">
        <f>F11</f>
        <v>843.05</v>
      </c>
      <c r="R11" s="15">
        <f t="shared" ref="R11:R17" si="1">(P11+Q11)</f>
        <v>843.05</v>
      </c>
    </row>
    <row r="12" spans="1:18" x14ac:dyDescent="0.25">
      <c r="A12" s="16"/>
      <c r="C12" s="6" t="s">
        <v>16</v>
      </c>
      <c r="D12" s="6">
        <v>2.57</v>
      </c>
      <c r="E12" s="6">
        <v>1.1879999999999999</v>
      </c>
      <c r="F12" s="6">
        <v>357.9</v>
      </c>
      <c r="H12" s="2">
        <f>H11-E12</f>
        <v>4.282</v>
      </c>
      <c r="I12" s="6">
        <f>D12</f>
        <v>2.57</v>
      </c>
      <c r="J12" s="4">
        <f>J11-E12</f>
        <v>0.80399999999999983</v>
      </c>
      <c r="K12" s="3">
        <f>K11-E12</f>
        <v>-0.3859999999999999</v>
      </c>
      <c r="P12">
        <f>492.9*Q$8</f>
        <v>443.61</v>
      </c>
      <c r="Q12">
        <f>(1-Q$8)*F12</f>
        <v>35.789999999999992</v>
      </c>
      <c r="R12" s="15">
        <f t="shared" si="1"/>
        <v>479.4</v>
      </c>
    </row>
    <row r="13" spans="1:18" x14ac:dyDescent="0.25">
      <c r="A13" s="16">
        <v>0.75</v>
      </c>
      <c r="B13" t="s">
        <v>8</v>
      </c>
      <c r="C13" s="3" t="s">
        <v>20</v>
      </c>
      <c r="D13" s="3">
        <v>1.99</v>
      </c>
      <c r="E13" s="3">
        <v>1.32</v>
      </c>
      <c r="F13" s="3">
        <v>336</v>
      </c>
      <c r="G13" s="1"/>
      <c r="H13" s="2">
        <f>H12-E13</f>
        <v>2.9619999999999997</v>
      </c>
      <c r="I13" s="6">
        <f>I12-E13</f>
        <v>1.2499999999999998</v>
      </c>
      <c r="J13" s="4">
        <f>J12-E13</f>
        <v>-0.51600000000000024</v>
      </c>
      <c r="K13" s="3">
        <f>D13</f>
        <v>1.99</v>
      </c>
      <c r="Q13">
        <f>F13</f>
        <v>336</v>
      </c>
      <c r="R13" s="15">
        <f t="shared" ref="R13:R16" si="2">(P13+Q13)</f>
        <v>336</v>
      </c>
    </row>
    <row r="14" spans="1:18" x14ac:dyDescent="0.25">
      <c r="A14" s="16">
        <v>1</v>
      </c>
      <c r="B14" t="s">
        <v>8</v>
      </c>
      <c r="C14" s="4" t="s">
        <v>18</v>
      </c>
      <c r="D14" s="4">
        <v>4.5</v>
      </c>
      <c r="E14" s="4">
        <v>2.2440000000000002</v>
      </c>
      <c r="F14" s="4">
        <v>528.4</v>
      </c>
      <c r="H14" s="2">
        <f>H13-E14</f>
        <v>0.71799999999999953</v>
      </c>
      <c r="I14" s="6">
        <f>I13-E14</f>
        <v>-0.99400000000000044</v>
      </c>
      <c r="J14" s="4">
        <f>D14</f>
        <v>4.5</v>
      </c>
      <c r="K14" s="3">
        <f>K13-E14</f>
        <v>-0.25400000000000023</v>
      </c>
      <c r="Q14">
        <f>F14</f>
        <v>528.4</v>
      </c>
      <c r="R14" s="15">
        <f t="shared" si="2"/>
        <v>528.4</v>
      </c>
    </row>
    <row r="15" spans="1:18" x14ac:dyDescent="0.25">
      <c r="A15" s="16">
        <v>0.75</v>
      </c>
      <c r="B15" t="s">
        <v>8</v>
      </c>
      <c r="C15" s="3" t="s">
        <v>20</v>
      </c>
      <c r="D15" s="3">
        <v>1.99</v>
      </c>
      <c r="E15" s="3">
        <v>1.32</v>
      </c>
      <c r="F15" s="3">
        <v>336</v>
      </c>
      <c r="G15" s="5"/>
      <c r="H15" s="2">
        <f>H14-E15</f>
        <v>-0.60200000000000053</v>
      </c>
      <c r="I15" s="6"/>
      <c r="J15" s="4">
        <f>J14-E15</f>
        <v>3.1799999999999997</v>
      </c>
      <c r="K15" s="3">
        <f>D15</f>
        <v>1.99</v>
      </c>
      <c r="Q15">
        <f>F15</f>
        <v>336</v>
      </c>
      <c r="R15" s="15">
        <f t="shared" si="2"/>
        <v>336</v>
      </c>
    </row>
    <row r="16" spans="1:18" x14ac:dyDescent="0.25">
      <c r="B16" s="10" t="s">
        <v>7</v>
      </c>
      <c r="C16" s="2" t="s">
        <v>15</v>
      </c>
      <c r="D16" s="2">
        <v>5.47</v>
      </c>
      <c r="E16" s="2">
        <v>1.1879999999999999</v>
      </c>
      <c r="F16" s="2">
        <f>(903.4*A13*A14*A15)+(782.7*(1-(A13*A14*A15)-((1-A13)*(1-A15))))+(662*(1-A13)*(1-A15))</f>
        <v>843.05</v>
      </c>
      <c r="G16" s="2"/>
      <c r="H16" s="2">
        <f>D16</f>
        <v>5.47</v>
      </c>
      <c r="I16" s="6"/>
      <c r="J16" s="4">
        <f>J15-E16</f>
        <v>1.9919999999999998</v>
      </c>
      <c r="K16" s="3">
        <f>K15-E16</f>
        <v>0.80200000000000005</v>
      </c>
      <c r="Q16">
        <f>F16</f>
        <v>843.05</v>
      </c>
      <c r="R16" s="15">
        <f t="shared" si="2"/>
        <v>843.05</v>
      </c>
    </row>
    <row r="17" spans="1:26" x14ac:dyDescent="0.25">
      <c r="A17" s="16"/>
      <c r="C17" s="6" t="s">
        <v>16</v>
      </c>
      <c r="D17" s="6">
        <v>2.57</v>
      </c>
      <c r="E17" s="6">
        <v>1.1879999999999999</v>
      </c>
      <c r="F17" s="6">
        <v>357.9</v>
      </c>
      <c r="H17" s="2">
        <f>H16-E17</f>
        <v>4.282</v>
      </c>
      <c r="I17" s="6">
        <f>D17</f>
        <v>2.57</v>
      </c>
      <c r="J17" s="4">
        <f>J16-E17</f>
        <v>0.80399999999999983</v>
      </c>
      <c r="K17" s="3">
        <f>K16-E17</f>
        <v>-0.3859999999999999</v>
      </c>
      <c r="P17">
        <f>492.9*Q$8</f>
        <v>443.61</v>
      </c>
      <c r="Q17">
        <f>(1-Q$8)*F17</f>
        <v>35.789999999999992</v>
      </c>
      <c r="R17" s="15">
        <f t="shared" si="1"/>
        <v>479.4</v>
      </c>
    </row>
    <row r="18" spans="1:26" x14ac:dyDescent="0.25">
      <c r="A18" s="16">
        <v>0.75</v>
      </c>
      <c r="B18" t="s">
        <v>8</v>
      </c>
      <c r="C18" s="3" t="s">
        <v>20</v>
      </c>
      <c r="D18" s="3">
        <v>1.99</v>
      </c>
      <c r="E18" s="3">
        <v>1.32</v>
      </c>
      <c r="F18" s="3">
        <v>336</v>
      </c>
      <c r="G18" s="1"/>
      <c r="H18" s="2">
        <f>H17-E18</f>
        <v>2.9619999999999997</v>
      </c>
      <c r="I18" s="6">
        <f>I17-E18</f>
        <v>1.2499999999999998</v>
      </c>
      <c r="J18" s="4">
        <f>J17-E18</f>
        <v>-0.51600000000000024</v>
      </c>
      <c r="K18" s="3">
        <f>D18</f>
        <v>1.99</v>
      </c>
      <c r="Q18">
        <f>F18</f>
        <v>336</v>
      </c>
      <c r="R18" s="15">
        <f t="shared" ref="R18:R20" si="3">(P18+Q18)</f>
        <v>336</v>
      </c>
    </row>
    <row r="19" spans="1:26" x14ac:dyDescent="0.25">
      <c r="A19" s="16">
        <v>1</v>
      </c>
      <c r="B19" t="s">
        <v>8</v>
      </c>
      <c r="C19" s="4" t="s">
        <v>18</v>
      </c>
      <c r="D19" s="4">
        <v>4.5</v>
      </c>
      <c r="E19" s="4">
        <v>2.2440000000000002</v>
      </c>
      <c r="F19" s="4">
        <v>528.4</v>
      </c>
      <c r="H19" s="2">
        <f>H18-E19</f>
        <v>0.71799999999999953</v>
      </c>
      <c r="I19" s="6">
        <f>I18-E19</f>
        <v>-0.99400000000000044</v>
      </c>
      <c r="J19" s="4">
        <f>D19</f>
        <v>4.5</v>
      </c>
      <c r="K19" s="3">
        <f>K18-E19</f>
        <v>-0.25400000000000023</v>
      </c>
      <c r="Q19">
        <f>F19</f>
        <v>528.4</v>
      </c>
      <c r="R19" s="15">
        <f t="shared" si="3"/>
        <v>528.4</v>
      </c>
    </row>
    <row r="20" spans="1:26" x14ac:dyDescent="0.25">
      <c r="A20" s="16">
        <v>0.75</v>
      </c>
      <c r="B20" t="s">
        <v>8</v>
      </c>
      <c r="C20" s="3" t="s">
        <v>20</v>
      </c>
      <c r="D20" s="3">
        <v>1.99</v>
      </c>
      <c r="E20" s="3">
        <v>1.32</v>
      </c>
      <c r="F20" s="3">
        <v>336</v>
      </c>
      <c r="H20" s="2">
        <f>H19-E20</f>
        <v>-0.60200000000000053</v>
      </c>
      <c r="I20" s="6"/>
      <c r="J20" s="4">
        <f>J19-E20</f>
        <v>3.1799999999999997</v>
      </c>
      <c r="K20" s="3">
        <f>D20</f>
        <v>1.99</v>
      </c>
      <c r="Q20">
        <f>F20</f>
        <v>336</v>
      </c>
      <c r="R20" s="15">
        <f t="shared" si="3"/>
        <v>336</v>
      </c>
    </row>
    <row r="21" spans="1:26" x14ac:dyDescent="0.25">
      <c r="E21" s="9">
        <f>SUM(E11:E20)</f>
        <v>14.520000000000001</v>
      </c>
      <c r="F21" s="9">
        <f>SUM(F11:F20)</f>
        <v>4802.7</v>
      </c>
      <c r="G21" s="7">
        <f>F21/E21</f>
        <v>330.76446280991729</v>
      </c>
      <c r="H21" s="7" t="s">
        <v>3</v>
      </c>
      <c r="R21" s="9">
        <f>SUM(R11:R20)</f>
        <v>5045.6999999999989</v>
      </c>
      <c r="S21" s="7" t="s">
        <v>14</v>
      </c>
      <c r="W21" s="7" t="s">
        <v>23</v>
      </c>
    </row>
    <row r="22" spans="1:26" x14ac:dyDescent="0.25">
      <c r="R22" s="7">
        <f>R21/E21</f>
        <v>347.49999999999989</v>
      </c>
      <c r="S22" s="7" t="s">
        <v>11</v>
      </c>
      <c r="W22" s="13">
        <v>0.328374</v>
      </c>
      <c r="X22" s="9" t="s">
        <v>10</v>
      </c>
      <c r="Y22" s="9">
        <v>0.433</v>
      </c>
      <c r="Z22" s="9" t="s">
        <v>9</v>
      </c>
    </row>
    <row r="23" spans="1:26" x14ac:dyDescent="0.25">
      <c r="M23" s="19" t="s">
        <v>24</v>
      </c>
    </row>
    <row r="24" spans="1:26" x14ac:dyDescent="0.25">
      <c r="B24" s="10" t="s">
        <v>7</v>
      </c>
      <c r="C24" s="2" t="s">
        <v>15</v>
      </c>
      <c r="D24" s="2">
        <v>5.47</v>
      </c>
      <c r="E24" s="2">
        <v>1.1879999999999999</v>
      </c>
      <c r="F24" s="2">
        <f>(903.4*A29*A30*A31)+(782.7*(1-(A29*A30*A31)-((1-A30)*(1-A31))))+(662*(1-A30)*(1-A31))</f>
        <v>858.74099999999987</v>
      </c>
      <c r="G24" s="2"/>
      <c r="H24" s="2">
        <f>D24</f>
        <v>5.47</v>
      </c>
      <c r="I24" s="4">
        <f>I31-E24</f>
        <v>-0.38400000000000012</v>
      </c>
      <c r="J24" s="3"/>
      <c r="K24" s="1">
        <f>K31-E24</f>
        <v>1.2620000000000002</v>
      </c>
      <c r="M24">
        <v>4</v>
      </c>
      <c r="N24">
        <f>E24-0.2+0.767</f>
        <v>1.7549999999999999</v>
      </c>
      <c r="O24" s="18">
        <f>(4%*M24)*N24/N$32</f>
        <v>1.9696969696969695E-2</v>
      </c>
      <c r="Q24">
        <f>F24</f>
        <v>858.74099999999987</v>
      </c>
      <c r="R24" s="15">
        <f t="shared" ref="R24:R31" si="4">(P24+Q24)</f>
        <v>858.74099999999987</v>
      </c>
      <c r="U24" s="14" t="s">
        <v>26</v>
      </c>
      <c r="V24" s="11">
        <f>V31-E24</f>
        <v>0.24099999999999988</v>
      </c>
      <c r="W24" s="11">
        <f>W31-E24</f>
        <v>7.3690000000000007</v>
      </c>
      <c r="X24" s="9">
        <f>(R24*1.2*(1-((1-W$22)*(1-W$22))))+(R24*1*((1-W$22)*(1-W$22)))</f>
        <v>953.01676709096785</v>
      </c>
    </row>
    <row r="25" spans="1:26" x14ac:dyDescent="0.25">
      <c r="A25" s="16">
        <v>1</v>
      </c>
      <c r="B25" t="s">
        <v>8</v>
      </c>
      <c r="C25" s="4" t="s">
        <v>18</v>
      </c>
      <c r="D25" s="4">
        <v>4.5</v>
      </c>
      <c r="E25" s="4">
        <v>2.2440000000000002</v>
      </c>
      <c r="F25" s="4">
        <v>528.4</v>
      </c>
      <c r="H25" s="2">
        <f>H24-E25</f>
        <v>3.2259999999999995</v>
      </c>
      <c r="I25" s="4">
        <f>D25</f>
        <v>4.5</v>
      </c>
      <c r="J25" s="3"/>
      <c r="K25" s="1">
        <f>J24-E25</f>
        <v>-2.2440000000000002</v>
      </c>
      <c r="M25">
        <v>0</v>
      </c>
      <c r="N25">
        <f>E25-0.767+0.567</f>
        <v>2.0440000000000005</v>
      </c>
      <c r="O25" s="18">
        <f t="shared" ref="O25:O31" si="5">(4%*M25)*N25/N$32</f>
        <v>0</v>
      </c>
      <c r="P25">
        <f>855.6*Q$8</f>
        <v>770.04000000000008</v>
      </c>
      <c r="Q25">
        <f>(1-Q$8)*F25</f>
        <v>52.839999999999989</v>
      </c>
      <c r="R25" s="15">
        <f t="shared" si="4"/>
        <v>822.88000000000011</v>
      </c>
      <c r="U25" s="14" t="s">
        <v>22</v>
      </c>
      <c r="W25" s="11">
        <f>W24-E25</f>
        <v>5.125</v>
      </c>
      <c r="X25" s="9">
        <f>(R25*1.2*W$22)+(R25*(1-W$22))</f>
        <v>876.92247942400013</v>
      </c>
    </row>
    <row r="26" spans="1:26" x14ac:dyDescent="0.25">
      <c r="A26" s="16">
        <v>0.75</v>
      </c>
      <c r="B26" t="s">
        <v>8</v>
      </c>
      <c r="C26" s="3" t="s">
        <v>20</v>
      </c>
      <c r="D26" s="3">
        <v>1.99</v>
      </c>
      <c r="E26" s="3">
        <v>1.32</v>
      </c>
      <c r="F26" s="3">
        <v>336</v>
      </c>
      <c r="G26" s="1"/>
      <c r="H26" s="2">
        <f>H25-E26</f>
        <v>1.9059999999999995</v>
      </c>
      <c r="I26" s="4">
        <f>I25-E26</f>
        <v>3.1799999999999997</v>
      </c>
      <c r="J26" s="3">
        <f>D26</f>
        <v>1.99</v>
      </c>
      <c r="M26">
        <v>1</v>
      </c>
      <c r="N26">
        <f>E26-0.567+0.433</f>
        <v>1.1860000000000002</v>
      </c>
      <c r="O26" s="18">
        <f t="shared" si="5"/>
        <v>3.3277216610549951E-3</v>
      </c>
      <c r="Q26">
        <f>F26</f>
        <v>336</v>
      </c>
      <c r="R26" s="15">
        <f t="shared" si="4"/>
        <v>336</v>
      </c>
      <c r="U26" s="14" t="s">
        <v>22</v>
      </c>
      <c r="W26" s="11">
        <f>W25-E26</f>
        <v>3.8049999999999997</v>
      </c>
      <c r="X26" s="9">
        <f>(R26*1.2*W$22)+(R26*(1-W$22))</f>
        <v>358.06673280000007</v>
      </c>
    </row>
    <row r="27" spans="1:26" x14ac:dyDescent="0.25">
      <c r="A27" s="16">
        <v>0.88</v>
      </c>
      <c r="B27" t="s">
        <v>8</v>
      </c>
      <c r="C27" s="1" t="s">
        <v>21</v>
      </c>
      <c r="D27" s="1">
        <v>2.4500000000000002</v>
      </c>
      <c r="E27" s="1">
        <v>2.3759999999999999</v>
      </c>
      <c r="F27" s="1">
        <v>261.2</v>
      </c>
      <c r="H27" s="2">
        <f>H26-E27</f>
        <v>-0.47000000000000042</v>
      </c>
      <c r="I27" s="4">
        <f>I26-E27</f>
        <v>0.80399999999999983</v>
      </c>
      <c r="J27" s="3">
        <f>J26-E27</f>
        <v>-0.3859999999999999</v>
      </c>
      <c r="K27" s="1">
        <v>2.4500000000000002</v>
      </c>
      <c r="L27" s="7" t="s">
        <v>12</v>
      </c>
      <c r="M27">
        <v>2</v>
      </c>
      <c r="N27">
        <f>E27-0.433+0.2</f>
        <v>2.1429999999999998</v>
      </c>
      <c r="O27" s="18">
        <f t="shared" si="5"/>
        <v>1.2025813692480358E-2</v>
      </c>
      <c r="Q27">
        <f>F27</f>
        <v>261.2</v>
      </c>
      <c r="R27" s="15">
        <f t="shared" si="4"/>
        <v>261.2</v>
      </c>
      <c r="U27" s="14" t="s">
        <v>22</v>
      </c>
      <c r="V27" s="15">
        <f>10.5-(E27-Y$22)</f>
        <v>8.5570000000000004</v>
      </c>
      <c r="W27" s="11">
        <f>W26-E27</f>
        <v>1.4289999999999998</v>
      </c>
      <c r="X27" s="9">
        <f>(R27*1.2*W$22)+(R27*(1-W$22))</f>
        <v>278.35425776</v>
      </c>
    </row>
    <row r="28" spans="1:26" x14ac:dyDescent="0.25">
      <c r="B28" s="10" t="s">
        <v>7</v>
      </c>
      <c r="C28" s="2" t="s">
        <v>15</v>
      </c>
      <c r="D28" s="2">
        <v>5.47</v>
      </c>
      <c r="E28" s="2">
        <v>1.1879999999999999</v>
      </c>
      <c r="F28" s="2">
        <f>(903.4*A25*A26*A27)+(782.7*(1-(A25*A26*A27)-((1-A26)*(1-A27))))+(662*(1-A26)*(1-A27))</f>
        <v>858.74099999999987</v>
      </c>
      <c r="G28" s="2"/>
      <c r="H28" s="2">
        <f>D28</f>
        <v>5.47</v>
      </c>
      <c r="I28" s="4">
        <f>I27-E28</f>
        <v>-0.38400000000000012</v>
      </c>
      <c r="J28" s="3"/>
      <c r="K28" s="1">
        <f>K27-E28</f>
        <v>1.2620000000000002</v>
      </c>
      <c r="M28">
        <v>4</v>
      </c>
      <c r="N28">
        <f>E28-0.2+0.767</f>
        <v>1.7549999999999999</v>
      </c>
      <c r="O28" s="18">
        <f t="shared" si="5"/>
        <v>1.9696969696969695E-2</v>
      </c>
      <c r="Q28">
        <f>F28</f>
        <v>858.74099999999987</v>
      </c>
      <c r="R28" s="15">
        <f t="shared" si="4"/>
        <v>858.74099999999987</v>
      </c>
      <c r="U28" s="14" t="s">
        <v>26</v>
      </c>
      <c r="V28" s="11">
        <f>V27-E28</f>
        <v>7.3690000000000007</v>
      </c>
      <c r="W28" s="11">
        <f>W27-E28</f>
        <v>0.24099999999999988</v>
      </c>
      <c r="X28" s="9">
        <f>(R28*1.2*(1-((1-W$22)*(1-W$22))))+(R28*1*((1-W$22)*(1-W$22)))</f>
        <v>953.01676709096785</v>
      </c>
    </row>
    <row r="29" spans="1:26" x14ac:dyDescent="0.25">
      <c r="A29" s="16">
        <v>1</v>
      </c>
      <c r="B29" t="s">
        <v>8</v>
      </c>
      <c r="C29" s="4" t="s">
        <v>18</v>
      </c>
      <c r="D29" s="4">
        <v>4.5</v>
      </c>
      <c r="E29" s="4">
        <v>2.2440000000000002</v>
      </c>
      <c r="F29" s="4">
        <v>528.4</v>
      </c>
      <c r="H29" s="2">
        <f>H28-E29</f>
        <v>3.2259999999999995</v>
      </c>
      <c r="I29" s="4">
        <f>D29</f>
        <v>4.5</v>
      </c>
      <c r="J29" s="3"/>
      <c r="K29" s="1">
        <f>J28-E29</f>
        <v>-2.2440000000000002</v>
      </c>
      <c r="M29">
        <v>0</v>
      </c>
      <c r="N29">
        <f>E29-0.767+0.567</f>
        <v>2.0440000000000005</v>
      </c>
      <c r="O29" s="18">
        <f t="shared" si="5"/>
        <v>0</v>
      </c>
      <c r="P29">
        <f>855.6*Q$8</f>
        <v>770.04000000000008</v>
      </c>
      <c r="Q29">
        <f>(1-Q$8)*F29</f>
        <v>52.839999999999989</v>
      </c>
      <c r="R29" s="15">
        <f t="shared" si="4"/>
        <v>822.88000000000011</v>
      </c>
      <c r="U29" s="14" t="s">
        <v>22</v>
      </c>
      <c r="V29" s="11">
        <f>V28-E29</f>
        <v>5.125</v>
      </c>
      <c r="X29" s="9">
        <f>(R29*1.2*W$22)+(R29*(1-W$22))</f>
        <v>876.92247942400013</v>
      </c>
    </row>
    <row r="30" spans="1:26" x14ac:dyDescent="0.25">
      <c r="A30" s="16">
        <v>0.75</v>
      </c>
      <c r="B30" t="s">
        <v>8</v>
      </c>
      <c r="C30" s="3" t="s">
        <v>20</v>
      </c>
      <c r="D30" s="3">
        <v>1.99</v>
      </c>
      <c r="E30" s="3">
        <v>1.32</v>
      </c>
      <c r="F30" s="3">
        <v>336</v>
      </c>
      <c r="G30" s="1"/>
      <c r="H30" s="2">
        <f>H29-E30</f>
        <v>1.9059999999999995</v>
      </c>
      <c r="I30" s="4">
        <f>I29-E30</f>
        <v>3.1799999999999997</v>
      </c>
      <c r="J30" s="3">
        <f>D30</f>
        <v>1.99</v>
      </c>
      <c r="M30">
        <v>1</v>
      </c>
      <c r="N30">
        <f>E30-0.567+0.433</f>
        <v>1.1860000000000002</v>
      </c>
      <c r="O30" s="18">
        <f t="shared" si="5"/>
        <v>3.3277216610549951E-3</v>
      </c>
      <c r="Q30">
        <f>F30</f>
        <v>336</v>
      </c>
      <c r="R30" s="15">
        <f t="shared" si="4"/>
        <v>336</v>
      </c>
      <c r="U30" s="14" t="s">
        <v>22</v>
      </c>
      <c r="V30" s="11">
        <f>V29-E30</f>
        <v>3.8049999999999997</v>
      </c>
      <c r="X30" s="9">
        <f>(R30*1.2*W$22)+(R30*(1-W$22))</f>
        <v>358.06673280000007</v>
      </c>
    </row>
    <row r="31" spans="1:26" x14ac:dyDescent="0.25">
      <c r="A31" s="16">
        <v>0.88</v>
      </c>
      <c r="B31" t="s">
        <v>8</v>
      </c>
      <c r="C31" s="1" t="s">
        <v>21</v>
      </c>
      <c r="D31" s="1">
        <v>2.4500000000000002</v>
      </c>
      <c r="E31" s="1">
        <v>2.3759999999999999</v>
      </c>
      <c r="F31" s="1">
        <v>261.2</v>
      </c>
      <c r="H31" s="2">
        <f>H30-E31</f>
        <v>-0.47000000000000042</v>
      </c>
      <c r="I31" s="4">
        <f>I30-E31</f>
        <v>0.80399999999999983</v>
      </c>
      <c r="J31" s="3">
        <f>J30-E31</f>
        <v>-0.3859999999999999</v>
      </c>
      <c r="K31" s="1">
        <v>2.4500000000000002</v>
      </c>
      <c r="L31" s="7" t="s">
        <v>12</v>
      </c>
      <c r="M31">
        <v>2</v>
      </c>
      <c r="N31">
        <f>E31-0.433+0.2</f>
        <v>2.1429999999999998</v>
      </c>
      <c r="O31" s="18">
        <f t="shared" si="5"/>
        <v>1.2025813692480358E-2</v>
      </c>
      <c r="Q31">
        <f>F31</f>
        <v>261.2</v>
      </c>
      <c r="R31" s="15">
        <f t="shared" si="4"/>
        <v>261.2</v>
      </c>
      <c r="U31" s="14" t="s">
        <v>22</v>
      </c>
      <c r="V31" s="11">
        <f>V30-E31</f>
        <v>1.4289999999999998</v>
      </c>
      <c r="W31" s="15">
        <f>10.5-(E31-Y$22)</f>
        <v>8.5570000000000004</v>
      </c>
      <c r="X31" s="9">
        <f>(R31*1.2*W$22)+(R31*(1-W$22))</f>
        <v>278.35425776</v>
      </c>
    </row>
    <row r="32" spans="1:26" x14ac:dyDescent="0.25">
      <c r="E32" s="9">
        <f>SUM(E24:E31)</f>
        <v>14.256</v>
      </c>
      <c r="F32" s="9">
        <f>SUM(F24:F31)</f>
        <v>3968.6819999999998</v>
      </c>
      <c r="G32" s="7">
        <f>F32/E32</f>
        <v>278.38678451178447</v>
      </c>
      <c r="H32" s="7" t="s">
        <v>3</v>
      </c>
      <c r="N32" s="9">
        <f>SUM(N24:N31)</f>
        <v>14.256</v>
      </c>
      <c r="O32" s="20">
        <f>SUM(O24:O31)</f>
        <v>7.0101010101010094E-2</v>
      </c>
      <c r="P32" s="7" t="s">
        <v>25</v>
      </c>
      <c r="R32" s="9">
        <f>SUM(R24:R31)</f>
        <v>4557.6419999999998</v>
      </c>
      <c r="S32" s="7" t="s">
        <v>14</v>
      </c>
      <c r="V32" s="11"/>
      <c r="X32" s="9">
        <f>SUM(X24:X31)</f>
        <v>4932.7204741499363</v>
      </c>
      <c r="Y32" s="7" t="s">
        <v>14</v>
      </c>
    </row>
    <row r="33" spans="1:25" x14ac:dyDescent="0.25">
      <c r="R33" s="7">
        <f>R32/E32</f>
        <v>319.69991582491582</v>
      </c>
      <c r="S33" s="7" t="s">
        <v>11</v>
      </c>
      <c r="X33" s="7">
        <f>X32/E32</f>
        <v>346.0101342697767</v>
      </c>
      <c r="Y33" s="7" t="s">
        <v>11</v>
      </c>
    </row>
    <row r="35" spans="1:25" x14ac:dyDescent="0.25">
      <c r="B35" s="10" t="s">
        <v>7</v>
      </c>
      <c r="C35" s="2" t="s">
        <v>15</v>
      </c>
      <c r="D35" s="2">
        <v>5.47</v>
      </c>
      <c r="E35" s="2">
        <v>1.1879999999999999</v>
      </c>
      <c r="F35" s="2">
        <f>(903.4*A40*A41*A42)+(782.7*(1-(A40*A41*A42)-((1-A41)*(1-A42))))+(662*(1-A41)*(1-A42))</f>
        <v>858.74099999999987</v>
      </c>
      <c r="G35" s="2"/>
      <c r="H35" s="2">
        <f>D35</f>
        <v>5.47</v>
      </c>
      <c r="I35" s="3"/>
      <c r="J35" s="5">
        <f>J42-E35</f>
        <v>-0.89399999999999991</v>
      </c>
      <c r="K35" s="1">
        <f>K42-E35</f>
        <v>1.2620000000000002</v>
      </c>
      <c r="Q35">
        <f>F35</f>
        <v>858.74099999999987</v>
      </c>
      <c r="R35" s="15">
        <f t="shared" ref="R35:R42" si="6">(P35+Q35)</f>
        <v>858.74099999999987</v>
      </c>
      <c r="U35" s="14" t="s">
        <v>26</v>
      </c>
      <c r="V35" s="11">
        <f>V42-E35</f>
        <v>0.10900000000000021</v>
      </c>
      <c r="W35" s="11">
        <f>W42-E35</f>
        <v>7.3690000000000007</v>
      </c>
      <c r="X35" s="9">
        <f>(R35*1.2*(1-((1-W$22)*(1-W$22))))+(R35*1*((1-W$22)*(1-W$22)))</f>
        <v>953.01676709096785</v>
      </c>
    </row>
    <row r="36" spans="1:25" x14ac:dyDescent="0.25">
      <c r="A36" s="16">
        <v>1</v>
      </c>
      <c r="B36" t="s">
        <v>8</v>
      </c>
      <c r="C36" s="5" t="s">
        <v>17</v>
      </c>
      <c r="D36" s="5">
        <v>3.99</v>
      </c>
      <c r="E36" s="5">
        <v>2.3759999999999999</v>
      </c>
      <c r="F36" s="5">
        <v>271.39999999999998</v>
      </c>
      <c r="H36" s="2">
        <f>H35-E36</f>
        <v>3.0939999999999999</v>
      </c>
      <c r="I36" s="3"/>
      <c r="J36" s="5">
        <f>D36</f>
        <v>3.99</v>
      </c>
      <c r="K36" s="1">
        <f>K35-E36</f>
        <v>-1.1139999999999997</v>
      </c>
      <c r="P36">
        <f>351.6*Q$8</f>
        <v>316.44000000000005</v>
      </c>
      <c r="Q36">
        <f>(1-Q$8)*F36</f>
        <v>27.139999999999993</v>
      </c>
      <c r="R36" s="15">
        <f t="shared" si="6"/>
        <v>343.58000000000004</v>
      </c>
      <c r="U36" s="14" t="s">
        <v>22</v>
      </c>
      <c r="V36" s="11"/>
      <c r="W36" s="11">
        <f>W35-E36</f>
        <v>4.9930000000000003</v>
      </c>
      <c r="X36" s="9">
        <f>(R36*1.2*W$22)+(R36*(1-W$22))</f>
        <v>366.14454778400005</v>
      </c>
    </row>
    <row r="37" spans="1:25" x14ac:dyDescent="0.25">
      <c r="A37" s="16">
        <v>0.75</v>
      </c>
      <c r="B37" t="s">
        <v>8</v>
      </c>
      <c r="C37" s="3" t="s">
        <v>20</v>
      </c>
      <c r="D37" s="3">
        <v>1.99</v>
      </c>
      <c r="E37" s="3">
        <v>1.32</v>
      </c>
      <c r="F37" s="3">
        <v>336</v>
      </c>
      <c r="G37" s="1"/>
      <c r="H37" s="2">
        <f>H36-E37</f>
        <v>1.7739999999999998</v>
      </c>
      <c r="I37" s="3">
        <f>D37</f>
        <v>1.99</v>
      </c>
      <c r="J37" s="5">
        <f>J36-E37</f>
        <v>2.67</v>
      </c>
      <c r="K37" s="17"/>
      <c r="L37" s="7" t="s">
        <v>12</v>
      </c>
      <c r="Q37">
        <f>F37</f>
        <v>336</v>
      </c>
      <c r="R37" s="15">
        <f t="shared" si="6"/>
        <v>336</v>
      </c>
      <c r="U37" s="14" t="s">
        <v>22</v>
      </c>
      <c r="W37" s="11">
        <f>W36-E37</f>
        <v>3.673</v>
      </c>
      <c r="X37" s="9">
        <f>(R37*1.2*W$22)+(R37*(1-W$22))</f>
        <v>358.06673280000007</v>
      </c>
    </row>
    <row r="38" spans="1:25" x14ac:dyDescent="0.25">
      <c r="A38" s="16">
        <v>0.88</v>
      </c>
      <c r="B38" t="s">
        <v>8</v>
      </c>
      <c r="C38" s="1" t="s">
        <v>21</v>
      </c>
      <c r="D38" s="1">
        <v>2.4500000000000002</v>
      </c>
      <c r="E38" s="1">
        <v>2.3759999999999999</v>
      </c>
      <c r="F38" s="1">
        <v>261.2</v>
      </c>
      <c r="H38" s="2">
        <f>H37-E38</f>
        <v>-0.60200000000000009</v>
      </c>
      <c r="I38" s="3">
        <f>I37-E38</f>
        <v>-0.3859999999999999</v>
      </c>
      <c r="J38" s="5">
        <f>J37-E38</f>
        <v>0.29400000000000004</v>
      </c>
      <c r="K38" s="1">
        <v>2.4500000000000002</v>
      </c>
      <c r="L38" s="7" t="s">
        <v>12</v>
      </c>
      <c r="Q38">
        <f>F38</f>
        <v>261.2</v>
      </c>
      <c r="R38" s="15">
        <f t="shared" si="6"/>
        <v>261.2</v>
      </c>
      <c r="U38" s="14" t="s">
        <v>22</v>
      </c>
      <c r="V38" s="15">
        <f>10.5-(E38-Y$22)</f>
        <v>8.5570000000000004</v>
      </c>
      <c r="W38" s="11">
        <f>W37-E38</f>
        <v>1.2970000000000002</v>
      </c>
      <c r="X38" s="9">
        <f>(R38*1.2*W$22)+(R38*(1-W$22))</f>
        <v>278.35425776</v>
      </c>
    </row>
    <row r="39" spans="1:25" x14ac:dyDescent="0.25">
      <c r="B39" s="10" t="s">
        <v>7</v>
      </c>
      <c r="C39" s="2" t="s">
        <v>15</v>
      </c>
      <c r="D39" s="2">
        <v>5.47</v>
      </c>
      <c r="E39" s="2">
        <v>1.1879999999999999</v>
      </c>
      <c r="F39" s="2">
        <f>(903.4*A36*A37*A38)+(782.7*(1-(A36*A37*A38)-((1-A37)*(1-A38))))+(662*(1-A37)*(1-A38))</f>
        <v>858.74099999999987</v>
      </c>
      <c r="G39" s="2"/>
      <c r="H39" s="2">
        <f>D39</f>
        <v>5.47</v>
      </c>
      <c r="I39" s="3"/>
      <c r="J39" s="5">
        <f>J38-E39</f>
        <v>-0.89399999999999991</v>
      </c>
      <c r="K39" s="1">
        <f>K38-E39</f>
        <v>1.2620000000000002</v>
      </c>
      <c r="Q39">
        <f>F39</f>
        <v>858.74099999999987</v>
      </c>
      <c r="R39" s="15">
        <f t="shared" si="6"/>
        <v>858.74099999999987</v>
      </c>
      <c r="U39" s="14" t="s">
        <v>26</v>
      </c>
      <c r="V39" s="11">
        <f>V38-E39</f>
        <v>7.3690000000000007</v>
      </c>
      <c r="W39" s="11">
        <f>W38-E39</f>
        <v>0.10900000000000021</v>
      </c>
      <c r="X39" s="9">
        <f>(R39*1.2*(1-((1-W$22)*(1-W$22))))+(R39*1*((1-W$22)*(1-W$22)))</f>
        <v>953.01676709096785</v>
      </c>
    </row>
    <row r="40" spans="1:25" x14ac:dyDescent="0.25">
      <c r="A40" s="16">
        <v>1</v>
      </c>
      <c r="B40" t="s">
        <v>8</v>
      </c>
      <c r="C40" s="5" t="s">
        <v>17</v>
      </c>
      <c r="D40" s="5">
        <v>3.99</v>
      </c>
      <c r="E40" s="5">
        <v>2.3759999999999999</v>
      </c>
      <c r="F40" s="5">
        <v>271.39999999999998</v>
      </c>
      <c r="H40" s="2">
        <f>H39-E40</f>
        <v>3.0939999999999999</v>
      </c>
      <c r="I40" s="3"/>
      <c r="J40" s="5">
        <f>D40</f>
        <v>3.99</v>
      </c>
      <c r="K40" s="1">
        <f>K39-E40</f>
        <v>-1.1139999999999997</v>
      </c>
      <c r="P40">
        <f>351.6*Q$8</f>
        <v>316.44000000000005</v>
      </c>
      <c r="Q40">
        <f>(1-Q$8)*F40</f>
        <v>27.139999999999993</v>
      </c>
      <c r="R40" s="15">
        <f t="shared" si="6"/>
        <v>343.58000000000004</v>
      </c>
      <c r="U40" s="14" t="s">
        <v>22</v>
      </c>
      <c r="V40" s="11">
        <f>V39-E40</f>
        <v>4.9930000000000003</v>
      </c>
      <c r="W40" s="11"/>
      <c r="X40" s="9">
        <f>(R40*1.2*W$22)+(R40*(1-W$22))</f>
        <v>366.14454778400005</v>
      </c>
    </row>
    <row r="41" spans="1:25" x14ac:dyDescent="0.25">
      <c r="A41" s="16">
        <v>0.75</v>
      </c>
      <c r="B41" t="s">
        <v>8</v>
      </c>
      <c r="C41" s="3" t="s">
        <v>20</v>
      </c>
      <c r="D41" s="3">
        <v>1.99</v>
      </c>
      <c r="E41" s="3">
        <v>1.32</v>
      </c>
      <c r="F41" s="3">
        <v>336</v>
      </c>
      <c r="G41" s="1"/>
      <c r="H41" s="2">
        <f>H40-E41</f>
        <v>1.7739999999999998</v>
      </c>
      <c r="I41" s="3">
        <f>D41</f>
        <v>1.99</v>
      </c>
      <c r="J41" s="5">
        <f>J40-E41</f>
        <v>2.67</v>
      </c>
      <c r="K41" s="17"/>
      <c r="L41" s="7" t="s">
        <v>12</v>
      </c>
      <c r="Q41">
        <f>F41</f>
        <v>336</v>
      </c>
      <c r="R41" s="15">
        <f t="shared" si="6"/>
        <v>336</v>
      </c>
      <c r="U41" s="14" t="s">
        <v>22</v>
      </c>
      <c r="V41" s="11">
        <f>V40-E41</f>
        <v>3.673</v>
      </c>
      <c r="X41" s="9">
        <f>(R41*1.2*W$22)+(R41*(1-W$22))</f>
        <v>358.06673280000007</v>
      </c>
    </row>
    <row r="42" spans="1:25" x14ac:dyDescent="0.25">
      <c r="A42" s="16">
        <v>0.88</v>
      </c>
      <c r="B42" t="s">
        <v>8</v>
      </c>
      <c r="C42" s="1" t="s">
        <v>21</v>
      </c>
      <c r="D42" s="1">
        <v>2.4500000000000002</v>
      </c>
      <c r="E42" s="1">
        <v>2.3759999999999999</v>
      </c>
      <c r="F42" s="1">
        <v>261.2</v>
      </c>
      <c r="H42" s="2">
        <f>H41-E42</f>
        <v>-0.60200000000000009</v>
      </c>
      <c r="I42" s="3">
        <f>I41-E42</f>
        <v>-0.3859999999999999</v>
      </c>
      <c r="J42" s="5">
        <f>J41-E42</f>
        <v>0.29400000000000004</v>
      </c>
      <c r="K42" s="1">
        <v>2.4500000000000002</v>
      </c>
      <c r="L42" s="7" t="s">
        <v>12</v>
      </c>
      <c r="Q42">
        <f>F42</f>
        <v>261.2</v>
      </c>
      <c r="R42" s="15">
        <f t="shared" si="6"/>
        <v>261.2</v>
      </c>
      <c r="U42" s="14" t="s">
        <v>22</v>
      </c>
      <c r="V42" s="11">
        <f>V41-E42</f>
        <v>1.2970000000000002</v>
      </c>
      <c r="W42" s="15">
        <f>10.5-(E42-Y$22)</f>
        <v>8.5570000000000004</v>
      </c>
      <c r="X42" s="9">
        <f>(R42*1.2*W$22)+(R42*(1-W$22))</f>
        <v>278.35425776</v>
      </c>
    </row>
    <row r="43" spans="1:25" x14ac:dyDescent="0.25">
      <c r="E43" s="9">
        <f>SUM(E35:E42)</f>
        <v>14.52</v>
      </c>
      <c r="F43" s="9">
        <f>SUM(F35:F42)</f>
        <v>3454.6819999999998</v>
      </c>
      <c r="G43" s="7">
        <f>F43/E43</f>
        <v>237.92575757575756</v>
      </c>
      <c r="H43" s="7" t="s">
        <v>3</v>
      </c>
      <c r="L43" s="1"/>
      <c r="R43" s="9">
        <f>SUM(R35:R42)</f>
        <v>3599.0419999999995</v>
      </c>
      <c r="S43" s="7" t="s">
        <v>14</v>
      </c>
      <c r="X43" s="9">
        <f>SUM(X35:X42)</f>
        <v>3911.164610869936</v>
      </c>
      <c r="Y43" s="7" t="s">
        <v>14</v>
      </c>
    </row>
    <row r="44" spans="1:25" x14ac:dyDescent="0.25">
      <c r="R44" s="7">
        <f>R43/E43</f>
        <v>247.86790633608811</v>
      </c>
      <c r="S44" s="7" t="s">
        <v>11</v>
      </c>
      <c r="X44" s="7">
        <f>X43/E43</f>
        <v>269.3639539166623</v>
      </c>
      <c r="Y44" s="7" t="s">
        <v>11</v>
      </c>
    </row>
    <row r="46" spans="1:25" x14ac:dyDescent="0.25">
      <c r="B46" s="10" t="s">
        <v>7</v>
      </c>
      <c r="C46" s="2" t="s">
        <v>15</v>
      </c>
      <c r="D46" s="2">
        <v>5.47</v>
      </c>
      <c r="E46" s="2">
        <v>1.1879999999999999</v>
      </c>
      <c r="F46" s="2">
        <f>(903.4*A52*A53*A54)+(782.7*(1-(A52*A53*A54)-((1-A53)*(1-A54))))+(662*(1-A53)*(1-A54))</f>
        <v>858.74099999999987</v>
      </c>
      <c r="G46" s="2"/>
      <c r="H46" s="2">
        <f>D46</f>
        <v>5.47</v>
      </c>
      <c r="I46" s="6">
        <f>I55-E46</f>
        <v>1.3819999999999999</v>
      </c>
      <c r="K46" s="4"/>
      <c r="L46" s="1">
        <f>L55-E46</f>
        <v>7.4000000000000288E-2</v>
      </c>
      <c r="Q46">
        <f>F46</f>
        <v>858.74099999999987</v>
      </c>
      <c r="R46" s="15">
        <f t="shared" ref="R46:R55" si="7">(P46+Q46)</f>
        <v>858.74099999999987</v>
      </c>
      <c r="U46" s="14" t="s">
        <v>22</v>
      </c>
      <c r="W46" s="11">
        <f>W55-E46</f>
        <v>6.1810000000000009</v>
      </c>
      <c r="X46" s="9">
        <f t="shared" ref="X46:X55" si="8">(R46*1.2*W$22)+(R46*(1-W$22))</f>
        <v>915.13864342679994</v>
      </c>
    </row>
    <row r="47" spans="1:25" x14ac:dyDescent="0.25">
      <c r="A47" s="16">
        <v>1</v>
      </c>
      <c r="B47" t="s">
        <v>8</v>
      </c>
      <c r="C47" s="4" t="s">
        <v>18</v>
      </c>
      <c r="D47" s="4">
        <v>4.5</v>
      </c>
      <c r="E47" s="4">
        <v>2.2440000000000002</v>
      </c>
      <c r="F47" s="4">
        <v>528.4</v>
      </c>
      <c r="H47" s="2">
        <f>H46-E47</f>
        <v>3.2259999999999995</v>
      </c>
      <c r="I47" s="6">
        <f>I46-E47</f>
        <v>-0.86200000000000032</v>
      </c>
      <c r="J47" s="3"/>
      <c r="K47" s="4">
        <f>D47</f>
        <v>4.5</v>
      </c>
      <c r="L47" s="1">
        <f>L46-E47</f>
        <v>-2.17</v>
      </c>
      <c r="P47">
        <f>855.6*Q$8</f>
        <v>770.04000000000008</v>
      </c>
      <c r="Q47">
        <f>(1-Q$8)*F47</f>
        <v>52.839999999999989</v>
      </c>
      <c r="R47" s="15">
        <f t="shared" si="7"/>
        <v>822.88000000000011</v>
      </c>
      <c r="U47" s="14" t="s">
        <v>22</v>
      </c>
      <c r="W47" s="11">
        <f>W46-E47</f>
        <v>3.9370000000000007</v>
      </c>
      <c r="X47" s="9">
        <f t="shared" si="8"/>
        <v>876.92247942400013</v>
      </c>
    </row>
    <row r="48" spans="1:25" x14ac:dyDescent="0.25">
      <c r="A48" s="16">
        <v>0.75</v>
      </c>
      <c r="B48" t="s">
        <v>8</v>
      </c>
      <c r="C48" s="3" t="s">
        <v>20</v>
      </c>
      <c r="D48" s="3">
        <v>1.99</v>
      </c>
      <c r="E48" s="3">
        <v>1.32</v>
      </c>
      <c r="F48" s="3">
        <v>336</v>
      </c>
      <c r="G48" s="1"/>
      <c r="H48" s="2">
        <f>H47-E48</f>
        <v>1.9059999999999995</v>
      </c>
      <c r="I48" s="6"/>
      <c r="J48" s="3">
        <f>D48</f>
        <v>1.99</v>
      </c>
      <c r="K48" s="4">
        <f>K47-E48</f>
        <v>3.1799999999999997</v>
      </c>
      <c r="Q48">
        <f>F48</f>
        <v>336</v>
      </c>
      <c r="R48" s="15">
        <f t="shared" si="7"/>
        <v>336</v>
      </c>
      <c r="U48" s="14" t="s">
        <v>22</v>
      </c>
      <c r="W48" s="11">
        <f>W47-E48</f>
        <v>2.6170000000000009</v>
      </c>
      <c r="X48" s="9">
        <f t="shared" si="8"/>
        <v>358.06673280000007</v>
      </c>
    </row>
    <row r="49" spans="1:25" x14ac:dyDescent="0.25">
      <c r="A49" s="16">
        <v>0.88</v>
      </c>
      <c r="B49" t="s">
        <v>8</v>
      </c>
      <c r="C49" s="1" t="s">
        <v>21</v>
      </c>
      <c r="D49" s="1">
        <v>2.4500000000000002</v>
      </c>
      <c r="E49" s="1">
        <v>2.3759999999999999</v>
      </c>
      <c r="F49" s="1">
        <v>261.2</v>
      </c>
      <c r="H49" s="2">
        <f>H48-E49</f>
        <v>-0.47000000000000042</v>
      </c>
      <c r="I49" s="6"/>
      <c r="J49" s="3">
        <f>J48-E49</f>
        <v>-0.3859999999999999</v>
      </c>
      <c r="K49" s="4">
        <f>K48-E49</f>
        <v>0.80399999999999983</v>
      </c>
      <c r="L49" s="1">
        <v>2.4500000000000002</v>
      </c>
      <c r="M49" s="7" t="s">
        <v>12</v>
      </c>
      <c r="Q49">
        <f>F49</f>
        <v>261.2</v>
      </c>
      <c r="R49" s="15">
        <f t="shared" si="7"/>
        <v>261.2</v>
      </c>
      <c r="U49" s="14" t="s">
        <v>22</v>
      </c>
      <c r="V49" s="15">
        <f>10.5-(E49-Y$22)</f>
        <v>8.5570000000000004</v>
      </c>
      <c r="W49" s="11">
        <f>W48-E49</f>
        <v>0.24100000000000099</v>
      </c>
      <c r="X49" s="9">
        <f t="shared" si="8"/>
        <v>278.35425776</v>
      </c>
    </row>
    <row r="50" spans="1:25" x14ac:dyDescent="0.25">
      <c r="A50" s="16"/>
      <c r="C50" s="6" t="s">
        <v>16</v>
      </c>
      <c r="D50" s="6">
        <v>2.57</v>
      </c>
      <c r="E50" s="6">
        <v>1.1879999999999999</v>
      </c>
      <c r="F50" s="6">
        <v>360.3</v>
      </c>
      <c r="G50" s="5"/>
      <c r="H50" s="2">
        <f>H49-E50</f>
        <v>-1.6580000000000004</v>
      </c>
      <c r="I50" s="6">
        <f>D50</f>
        <v>2.57</v>
      </c>
      <c r="J50" s="3"/>
      <c r="K50" s="4">
        <f>K49-E50</f>
        <v>-0.38400000000000012</v>
      </c>
      <c r="L50" s="1">
        <f>L49-E50</f>
        <v>1.2620000000000002</v>
      </c>
      <c r="Q50">
        <f>F50</f>
        <v>360.3</v>
      </c>
      <c r="R50" s="15">
        <f t="shared" si="7"/>
        <v>360.3</v>
      </c>
      <c r="U50" s="14" t="s">
        <v>22</v>
      </c>
      <c r="V50" s="11">
        <f>V49-E50</f>
        <v>7.3690000000000007</v>
      </c>
      <c r="X50" s="9">
        <f t="shared" si="8"/>
        <v>383.96263044</v>
      </c>
    </row>
    <row r="51" spans="1:25" x14ac:dyDescent="0.25">
      <c r="B51" s="10" t="s">
        <v>7</v>
      </c>
      <c r="C51" s="2" t="s">
        <v>15</v>
      </c>
      <c r="D51" s="2">
        <v>5.47</v>
      </c>
      <c r="E51" s="2">
        <v>1.1879999999999999</v>
      </c>
      <c r="F51" s="2">
        <f>(903.4*A47*A48*A49)+(782.7*(1-(A47*A48*A49)-((1-A48)*(1-A49))))+(662*(1-A48)*(1-A49))</f>
        <v>858.74099999999987</v>
      </c>
      <c r="G51" s="2"/>
      <c r="H51" s="2">
        <f>D51</f>
        <v>5.47</v>
      </c>
      <c r="I51" s="6">
        <f>I50-E51</f>
        <v>1.3819999999999999</v>
      </c>
      <c r="J51" s="3"/>
      <c r="K51" s="4"/>
      <c r="L51" s="1">
        <f>L50-E51</f>
        <v>7.4000000000000288E-2</v>
      </c>
      <c r="Q51">
        <f>F51</f>
        <v>858.74099999999987</v>
      </c>
      <c r="R51" s="15">
        <f t="shared" si="7"/>
        <v>858.74099999999987</v>
      </c>
      <c r="U51" s="14" t="s">
        <v>22</v>
      </c>
      <c r="V51" s="11">
        <f>V50-E51</f>
        <v>6.1810000000000009</v>
      </c>
      <c r="X51" s="9">
        <f t="shared" si="8"/>
        <v>915.13864342679994</v>
      </c>
    </row>
    <row r="52" spans="1:25" x14ac:dyDescent="0.25">
      <c r="A52" s="16">
        <v>1</v>
      </c>
      <c r="B52" t="s">
        <v>8</v>
      </c>
      <c r="C52" s="4" t="s">
        <v>18</v>
      </c>
      <c r="D52" s="4">
        <v>4.5</v>
      </c>
      <c r="E52" s="4">
        <v>2.2440000000000002</v>
      </c>
      <c r="F52" s="4">
        <v>528.4</v>
      </c>
      <c r="H52" s="2">
        <f>H51-E52</f>
        <v>3.2259999999999995</v>
      </c>
      <c r="I52" s="6">
        <f>I51-E52</f>
        <v>-0.86200000000000032</v>
      </c>
      <c r="J52" s="3"/>
      <c r="K52" s="4">
        <f>D52</f>
        <v>4.5</v>
      </c>
      <c r="L52" s="1">
        <f>L51-E52</f>
        <v>-2.17</v>
      </c>
      <c r="P52">
        <f>855.6*Q$8</f>
        <v>770.04000000000008</v>
      </c>
      <c r="Q52">
        <f>(1-Q$8)*F52</f>
        <v>52.839999999999989</v>
      </c>
      <c r="R52" s="15">
        <f t="shared" si="7"/>
        <v>822.88000000000011</v>
      </c>
      <c r="U52" s="14" t="s">
        <v>22</v>
      </c>
      <c r="V52" s="11">
        <f>V51-E52</f>
        <v>3.9370000000000007</v>
      </c>
      <c r="X52" s="9">
        <f t="shared" si="8"/>
        <v>876.92247942400013</v>
      </c>
    </row>
    <row r="53" spans="1:25" x14ac:dyDescent="0.25">
      <c r="A53" s="16">
        <v>0.75</v>
      </c>
      <c r="B53" t="s">
        <v>8</v>
      </c>
      <c r="C53" s="3" t="s">
        <v>20</v>
      </c>
      <c r="D53" s="3">
        <v>1.99</v>
      </c>
      <c r="E53" s="3">
        <v>1.32</v>
      </c>
      <c r="F53" s="3">
        <v>336</v>
      </c>
      <c r="G53" s="1"/>
      <c r="H53" s="2">
        <f>H52-E53</f>
        <v>1.9059999999999995</v>
      </c>
      <c r="I53" s="6"/>
      <c r="J53" s="3">
        <f>D53</f>
        <v>1.99</v>
      </c>
      <c r="K53" s="4">
        <f>K52-E53</f>
        <v>3.1799999999999997</v>
      </c>
      <c r="Q53">
        <f>F53</f>
        <v>336</v>
      </c>
      <c r="R53" s="15">
        <f t="shared" si="7"/>
        <v>336</v>
      </c>
      <c r="U53" s="14" t="s">
        <v>22</v>
      </c>
      <c r="V53" s="11">
        <f>V52-E53</f>
        <v>2.6170000000000009</v>
      </c>
      <c r="X53" s="9">
        <f t="shared" si="8"/>
        <v>358.06673280000007</v>
      </c>
    </row>
    <row r="54" spans="1:25" x14ac:dyDescent="0.25">
      <c r="A54" s="16">
        <v>0.88</v>
      </c>
      <c r="B54" t="s">
        <v>8</v>
      </c>
      <c r="C54" s="1" t="s">
        <v>21</v>
      </c>
      <c r="D54" s="1">
        <v>2.4500000000000002</v>
      </c>
      <c r="E54" s="1">
        <v>2.3759999999999999</v>
      </c>
      <c r="F54" s="1">
        <v>261.2</v>
      </c>
      <c r="H54" s="2">
        <f>H53-E54</f>
        <v>-0.47000000000000042</v>
      </c>
      <c r="I54" s="6"/>
      <c r="J54" s="3">
        <f>J53-E54</f>
        <v>-0.3859999999999999</v>
      </c>
      <c r="K54" s="4">
        <f>K53-E54</f>
        <v>0.80399999999999983</v>
      </c>
      <c r="L54" s="1">
        <v>2.4500000000000002</v>
      </c>
      <c r="M54" s="7" t="s">
        <v>12</v>
      </c>
      <c r="Q54">
        <f>F54</f>
        <v>261.2</v>
      </c>
      <c r="R54" s="15">
        <f t="shared" si="7"/>
        <v>261.2</v>
      </c>
      <c r="U54" s="14" t="s">
        <v>22</v>
      </c>
      <c r="V54" s="11">
        <f>V53-E54</f>
        <v>0.24100000000000099</v>
      </c>
      <c r="W54" s="15">
        <f>10.5-(E54-Y$22)</f>
        <v>8.5570000000000004</v>
      </c>
      <c r="X54" s="9">
        <f t="shared" si="8"/>
        <v>278.35425776</v>
      </c>
    </row>
    <row r="55" spans="1:25" x14ac:dyDescent="0.25">
      <c r="A55" s="16"/>
      <c r="C55" s="6" t="s">
        <v>16</v>
      </c>
      <c r="D55" s="6">
        <v>2.57</v>
      </c>
      <c r="E55" s="6">
        <v>1.1879999999999999</v>
      </c>
      <c r="F55" s="6">
        <v>360.3</v>
      </c>
      <c r="H55" s="2">
        <f>H54-E55</f>
        <v>-1.6580000000000004</v>
      </c>
      <c r="I55" s="6">
        <f>D55</f>
        <v>2.57</v>
      </c>
      <c r="K55" s="4">
        <f>K54-E55</f>
        <v>-0.38400000000000012</v>
      </c>
      <c r="L55" s="1">
        <f>L54-E55</f>
        <v>1.2620000000000002</v>
      </c>
      <c r="Q55">
        <f>F55</f>
        <v>360.3</v>
      </c>
      <c r="R55" s="15">
        <f t="shared" si="7"/>
        <v>360.3</v>
      </c>
      <c r="U55" s="14" t="s">
        <v>22</v>
      </c>
      <c r="W55" s="11">
        <f>W54-E55</f>
        <v>7.3690000000000007</v>
      </c>
      <c r="X55" s="9">
        <f t="shared" si="8"/>
        <v>383.96263044</v>
      </c>
    </row>
    <row r="56" spans="1:25" x14ac:dyDescent="0.25">
      <c r="E56" s="9">
        <f>SUM(E46:E55)</f>
        <v>16.632000000000001</v>
      </c>
      <c r="F56" s="9">
        <f>SUM(F46:F55)</f>
        <v>4689.2820000000002</v>
      </c>
      <c r="G56" s="7">
        <f>F56/E56</f>
        <v>281.94336219336219</v>
      </c>
      <c r="H56" s="7" t="s">
        <v>3</v>
      </c>
      <c r="I56" s="6"/>
      <c r="R56" s="9">
        <f>SUM(R46:R55)</f>
        <v>5278.2420000000002</v>
      </c>
      <c r="S56" s="7" t="s">
        <v>14</v>
      </c>
      <c r="X56" s="9">
        <f>SUM(X46:X55)</f>
        <v>5624.8894877016</v>
      </c>
      <c r="Y56" s="7" t="s">
        <v>14</v>
      </c>
    </row>
    <row r="57" spans="1:25" x14ac:dyDescent="0.25">
      <c r="R57" s="7">
        <f>R56/E56</f>
        <v>317.3546176046176</v>
      </c>
      <c r="S57" s="7" t="s">
        <v>11</v>
      </c>
      <c r="X57" s="7">
        <f>X56/E56</f>
        <v>338.19681864487734</v>
      </c>
      <c r="Y57" s="7" t="s">
        <v>11</v>
      </c>
    </row>
  </sheetData>
  <sortState ref="C2:J8">
    <sortCondition descending="1" ref="G2:G8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6"/>
  <sheetViews>
    <sheetView zoomScale="85" zoomScaleNormal="85" workbookViewId="0">
      <selection activeCell="K9" sqref="K9"/>
    </sheetView>
  </sheetViews>
  <sheetFormatPr defaultRowHeight="15" x14ac:dyDescent="0.25"/>
  <cols>
    <col min="3" max="3" width="16.28515625" bestFit="1" customWidth="1"/>
  </cols>
  <sheetData>
    <row r="1" spans="1:18" x14ac:dyDescent="0.25">
      <c r="D1" t="s">
        <v>0</v>
      </c>
      <c r="E1" t="s">
        <v>1</v>
      </c>
      <c r="F1" t="s">
        <v>2</v>
      </c>
      <c r="G1" t="s">
        <v>4</v>
      </c>
    </row>
    <row r="2" spans="1:18" x14ac:dyDescent="0.25">
      <c r="C2" s="2" t="s">
        <v>15</v>
      </c>
      <c r="D2" s="2">
        <v>5.62</v>
      </c>
      <c r="E2" s="2">
        <v>1.1879999999999999</v>
      </c>
      <c r="F2" s="2">
        <v>536.70000000000005</v>
      </c>
      <c r="G2" s="2">
        <f t="shared" ref="G2:G9" si="0">F2/E2</f>
        <v>451.76767676767685</v>
      </c>
      <c r="H2" s="8">
        <v>1</v>
      </c>
      <c r="J2" s="12"/>
      <c r="N2" s="9"/>
    </row>
    <row r="3" spans="1:18" x14ac:dyDescent="0.25">
      <c r="C3" s="6" t="s">
        <v>5</v>
      </c>
      <c r="D3" s="6">
        <v>7.74</v>
      </c>
      <c r="E3" s="6">
        <v>1.5840000000000001</v>
      </c>
      <c r="F3" s="6">
        <v>469</v>
      </c>
      <c r="G3" s="6">
        <f t="shared" si="0"/>
        <v>296.08585858585855</v>
      </c>
      <c r="H3" s="8">
        <v>2</v>
      </c>
      <c r="J3" s="12"/>
      <c r="N3" s="9"/>
    </row>
    <row r="4" spans="1:18" x14ac:dyDescent="0.25">
      <c r="C4" s="21" t="s">
        <v>6</v>
      </c>
      <c r="D4" s="21">
        <v>13.13</v>
      </c>
      <c r="E4" s="21">
        <v>1.32</v>
      </c>
      <c r="F4" s="21">
        <v>387.7</v>
      </c>
      <c r="G4" s="21">
        <f t="shared" si="0"/>
        <v>293.71212121212119</v>
      </c>
      <c r="H4" s="8">
        <v>3</v>
      </c>
      <c r="I4" t="s">
        <v>12</v>
      </c>
      <c r="N4" s="9"/>
    </row>
    <row r="5" spans="1:18" x14ac:dyDescent="0.25">
      <c r="C5" t="s">
        <v>19</v>
      </c>
      <c r="D5">
        <v>12.59</v>
      </c>
      <c r="E5">
        <v>1.32</v>
      </c>
      <c r="F5">
        <v>345.3</v>
      </c>
      <c r="G5">
        <f t="shared" si="0"/>
        <v>261.59090909090907</v>
      </c>
      <c r="H5" s="8">
        <v>4</v>
      </c>
      <c r="I5" t="s">
        <v>12</v>
      </c>
    </row>
    <row r="6" spans="1:18" x14ac:dyDescent="0.25">
      <c r="C6" s="3" t="s">
        <v>20</v>
      </c>
      <c r="D6" s="3">
        <v>2.0499999999999998</v>
      </c>
      <c r="E6" s="3">
        <v>1.32</v>
      </c>
      <c r="F6" s="3">
        <v>333.2</v>
      </c>
      <c r="G6" s="3">
        <f t="shared" si="0"/>
        <v>252.42424242424241</v>
      </c>
      <c r="H6" s="8">
        <v>5</v>
      </c>
    </row>
    <row r="7" spans="1:18" x14ac:dyDescent="0.25">
      <c r="C7" s="4" t="s">
        <v>18</v>
      </c>
      <c r="D7" s="4">
        <v>4.6100000000000003</v>
      </c>
      <c r="E7" s="4">
        <v>2.2440000000000002</v>
      </c>
      <c r="F7" s="4">
        <v>488.8</v>
      </c>
      <c r="G7" s="4">
        <f t="shared" si="0"/>
        <v>217.82531194295899</v>
      </c>
      <c r="H7" s="8">
        <v>6</v>
      </c>
      <c r="P7" s="7" t="s">
        <v>13</v>
      </c>
    </row>
    <row r="8" spans="1:18" x14ac:dyDescent="0.25">
      <c r="C8" s="1" t="s">
        <v>21</v>
      </c>
      <c r="D8" s="1">
        <v>3.08</v>
      </c>
      <c r="E8" s="1">
        <v>2.3759999999999999</v>
      </c>
      <c r="F8" s="1">
        <v>329.1</v>
      </c>
      <c r="G8" s="1">
        <f t="shared" si="0"/>
        <v>138.51010101010104</v>
      </c>
      <c r="H8" s="8">
        <v>7</v>
      </c>
      <c r="I8" t="s">
        <v>12</v>
      </c>
      <c r="J8" t="s">
        <v>22</v>
      </c>
      <c r="P8" s="9"/>
      <c r="Q8" s="13">
        <v>0.9</v>
      </c>
      <c r="R8" s="9" t="s">
        <v>10</v>
      </c>
    </row>
    <row r="9" spans="1:18" x14ac:dyDescent="0.25">
      <c r="C9" s="5" t="s">
        <v>17</v>
      </c>
      <c r="D9" s="5">
        <v>4.07</v>
      </c>
      <c r="E9" s="5">
        <v>2.3759999999999999</v>
      </c>
      <c r="F9" s="5">
        <v>241</v>
      </c>
      <c r="G9" s="5">
        <f t="shared" si="0"/>
        <v>101.43097643097643</v>
      </c>
      <c r="H9" s="5">
        <v>8</v>
      </c>
      <c r="I9" t="s">
        <v>12</v>
      </c>
    </row>
    <row r="11" spans="1:18" x14ac:dyDescent="0.25">
      <c r="B11" s="10" t="s">
        <v>7</v>
      </c>
      <c r="C11" s="2" t="s">
        <v>15</v>
      </c>
      <c r="D11" s="2">
        <v>5.62</v>
      </c>
      <c r="E11" s="2">
        <v>1.1879999999999999</v>
      </c>
      <c r="F11" s="2">
        <f>(894.2*A18*A19*A20)+(775.1*(1-(A18*A19*A20)-((1-A18)*(1-A20))))+(655.9*(1-A18)*(1-A20))</f>
        <v>834.64375000000007</v>
      </c>
      <c r="G11" s="2"/>
      <c r="H11" s="2">
        <f>D11</f>
        <v>5.62</v>
      </c>
      <c r="I11" s="6"/>
      <c r="J11" s="4">
        <f>J20-E11</f>
        <v>2.1020000000000003</v>
      </c>
      <c r="K11" s="3">
        <f>K20-E11</f>
        <v>0.86199999999999988</v>
      </c>
      <c r="L11" s="21">
        <f>L20-E11</f>
        <v>7.0580000000000007</v>
      </c>
      <c r="Q11">
        <f>F11</f>
        <v>834.64375000000007</v>
      </c>
      <c r="R11" s="15">
        <f t="shared" ref="R11:R20" si="1">(P11+Q11)</f>
        <v>834.64375000000007</v>
      </c>
    </row>
    <row r="12" spans="1:18" x14ac:dyDescent="0.25">
      <c r="A12" s="16"/>
      <c r="C12" s="6" t="s">
        <v>5</v>
      </c>
      <c r="D12" s="6">
        <v>7.74</v>
      </c>
      <c r="E12" s="6">
        <v>1.5840000000000001</v>
      </c>
      <c r="F12" s="6">
        <v>469</v>
      </c>
      <c r="H12" s="2">
        <f>H11-E12</f>
        <v>4.0359999999999996</v>
      </c>
      <c r="I12" s="6">
        <f>D12</f>
        <v>7.74</v>
      </c>
      <c r="J12" s="4">
        <f>J11-E12</f>
        <v>0.51800000000000024</v>
      </c>
      <c r="K12" s="3">
        <f>K11-E12</f>
        <v>-0.7220000000000002</v>
      </c>
      <c r="L12" s="21">
        <f>L11-E12</f>
        <v>5.4740000000000002</v>
      </c>
      <c r="P12">
        <f>650.8*Q$8</f>
        <v>585.72</v>
      </c>
      <c r="Q12">
        <f>(1-Q$8)*F12</f>
        <v>46.899999999999991</v>
      </c>
      <c r="R12" s="15">
        <f t="shared" si="1"/>
        <v>632.62</v>
      </c>
    </row>
    <row r="13" spans="1:18" x14ac:dyDescent="0.25">
      <c r="A13" s="16">
        <v>0.75</v>
      </c>
      <c r="B13" t="s">
        <v>8</v>
      </c>
      <c r="C13" s="3" t="s">
        <v>20</v>
      </c>
      <c r="D13" s="3">
        <v>2.0499999999999998</v>
      </c>
      <c r="E13" s="3">
        <v>1.32</v>
      </c>
      <c r="F13" s="3">
        <v>333.2</v>
      </c>
      <c r="G13" s="1"/>
      <c r="H13" s="2">
        <f>H12-E13</f>
        <v>2.7159999999999993</v>
      </c>
      <c r="I13" s="6">
        <f t="shared" ref="I13:I18" si="2">I12-E13</f>
        <v>6.42</v>
      </c>
      <c r="J13" s="4">
        <f>J12-E13</f>
        <v>-0.80199999999999982</v>
      </c>
      <c r="K13" s="3">
        <f>D13</f>
        <v>2.0499999999999998</v>
      </c>
      <c r="L13" s="21">
        <f>L12-E13</f>
        <v>4.1539999999999999</v>
      </c>
      <c r="Q13">
        <f>F13</f>
        <v>333.2</v>
      </c>
      <c r="R13" s="15">
        <f t="shared" si="1"/>
        <v>333.2</v>
      </c>
    </row>
    <row r="14" spans="1:18" x14ac:dyDescent="0.25">
      <c r="A14" s="16">
        <v>1</v>
      </c>
      <c r="B14" t="s">
        <v>8</v>
      </c>
      <c r="C14" s="4" t="s">
        <v>18</v>
      </c>
      <c r="D14" s="4">
        <v>4.6100000000000003</v>
      </c>
      <c r="E14" s="4">
        <v>2.2440000000000002</v>
      </c>
      <c r="F14" s="4">
        <v>488.8</v>
      </c>
      <c r="H14" s="2">
        <f>H13-E14</f>
        <v>0.47199999999999909</v>
      </c>
      <c r="I14" s="6">
        <f t="shared" si="2"/>
        <v>4.1760000000000002</v>
      </c>
      <c r="J14" s="4">
        <f>D14</f>
        <v>4.6100000000000003</v>
      </c>
      <c r="K14" s="3">
        <f>K13-E14</f>
        <v>-0.19400000000000039</v>
      </c>
      <c r="L14" s="21">
        <f>L13-E14</f>
        <v>1.9099999999999997</v>
      </c>
      <c r="Q14">
        <f>F14</f>
        <v>488.8</v>
      </c>
      <c r="R14" s="15">
        <f t="shared" si="1"/>
        <v>488.8</v>
      </c>
    </row>
    <row r="15" spans="1:18" x14ac:dyDescent="0.25">
      <c r="A15" s="16">
        <v>0.75</v>
      </c>
      <c r="B15" t="s">
        <v>8</v>
      </c>
      <c r="C15" s="3" t="s">
        <v>20</v>
      </c>
      <c r="D15" s="3">
        <v>2.0499999999999998</v>
      </c>
      <c r="E15" s="3">
        <v>1.32</v>
      </c>
      <c r="F15" s="3">
        <v>333.2</v>
      </c>
      <c r="G15" s="5"/>
      <c r="H15" s="2">
        <f>H14-E15</f>
        <v>-0.84800000000000098</v>
      </c>
      <c r="I15" s="6">
        <f t="shared" si="2"/>
        <v>2.8559999999999999</v>
      </c>
      <c r="J15" s="4">
        <f>J14-E15</f>
        <v>3.29</v>
      </c>
      <c r="K15" s="3">
        <f>D15</f>
        <v>2.0499999999999998</v>
      </c>
      <c r="L15" s="21">
        <f>L14-E15</f>
        <v>0.58999999999999964</v>
      </c>
      <c r="Q15">
        <f>F15</f>
        <v>333.2</v>
      </c>
      <c r="R15" s="15">
        <f t="shared" si="1"/>
        <v>333.2</v>
      </c>
    </row>
    <row r="16" spans="1:18" x14ac:dyDescent="0.25">
      <c r="B16" s="10" t="s">
        <v>7</v>
      </c>
      <c r="C16" s="2" t="s">
        <v>15</v>
      </c>
      <c r="D16" s="2">
        <v>5.62</v>
      </c>
      <c r="E16" s="2">
        <v>1.1879999999999999</v>
      </c>
      <c r="F16" s="2">
        <f>(894.2*A13*A14*A15)+(775.1*(1-(A13*A14*A15)-((1-A13)*(1-A15))))+(655.9*(1-A13)*(1-A15))</f>
        <v>834.64375000000007</v>
      </c>
      <c r="G16" s="2"/>
      <c r="H16" s="2">
        <f>D16</f>
        <v>5.62</v>
      </c>
      <c r="I16" s="6">
        <f t="shared" si="2"/>
        <v>1.6679999999999999</v>
      </c>
      <c r="J16" s="4">
        <f>J15-E16</f>
        <v>2.1020000000000003</v>
      </c>
      <c r="K16" s="3">
        <f>K15-E16</f>
        <v>0.86199999999999988</v>
      </c>
      <c r="L16" s="21">
        <f>L15-E16</f>
        <v>-0.59800000000000031</v>
      </c>
      <c r="Q16">
        <f>F16</f>
        <v>834.64375000000007</v>
      </c>
      <c r="R16" s="15">
        <f t="shared" si="1"/>
        <v>834.64375000000007</v>
      </c>
    </row>
    <row r="17" spans="1:26" x14ac:dyDescent="0.25">
      <c r="A17" s="16"/>
      <c r="C17" s="21" t="s">
        <v>6</v>
      </c>
      <c r="D17" s="21">
        <v>13.13</v>
      </c>
      <c r="E17" s="21">
        <v>1.32</v>
      </c>
      <c r="F17" s="21">
        <v>387.7</v>
      </c>
      <c r="H17" s="2">
        <f>H16-E17</f>
        <v>4.3</v>
      </c>
      <c r="I17" s="6">
        <f t="shared" si="2"/>
        <v>0.34799999999999986</v>
      </c>
      <c r="J17" s="4">
        <f>J16-E17</f>
        <v>0.78200000000000025</v>
      </c>
      <c r="K17" s="3">
        <f>K16-E17</f>
        <v>-0.45800000000000018</v>
      </c>
      <c r="L17" s="21">
        <f>D17</f>
        <v>13.13</v>
      </c>
      <c r="M17" s="7" t="s">
        <v>12</v>
      </c>
      <c r="P17">
        <f>523.3*Q$8</f>
        <v>470.96999999999997</v>
      </c>
      <c r="Q17">
        <f>(1-Q$8)*F17</f>
        <v>38.769999999999989</v>
      </c>
      <c r="R17" s="15">
        <f t="shared" si="1"/>
        <v>509.73999999999995</v>
      </c>
    </row>
    <row r="18" spans="1:26" x14ac:dyDescent="0.25">
      <c r="A18" s="16">
        <v>0.75</v>
      </c>
      <c r="B18" t="s">
        <v>8</v>
      </c>
      <c r="C18" s="3" t="s">
        <v>20</v>
      </c>
      <c r="D18" s="3">
        <v>2.0499999999999998</v>
      </c>
      <c r="E18" s="3">
        <v>1.32</v>
      </c>
      <c r="F18" s="3">
        <v>333.2</v>
      </c>
      <c r="G18" s="1"/>
      <c r="H18" s="2">
        <f>H17-E18</f>
        <v>2.9799999999999995</v>
      </c>
      <c r="I18" s="6">
        <f t="shared" si="2"/>
        <v>-0.9720000000000002</v>
      </c>
      <c r="J18" s="4">
        <f>J17-E18</f>
        <v>-0.53799999999999981</v>
      </c>
      <c r="K18" s="3">
        <f>D18</f>
        <v>2.0499999999999998</v>
      </c>
      <c r="L18" s="21">
        <f>L17-E18</f>
        <v>11.81</v>
      </c>
      <c r="Q18">
        <f>F18</f>
        <v>333.2</v>
      </c>
      <c r="R18" s="15">
        <f t="shared" si="1"/>
        <v>333.2</v>
      </c>
    </row>
    <row r="19" spans="1:26" x14ac:dyDescent="0.25">
      <c r="A19" s="16">
        <v>1</v>
      </c>
      <c r="B19" t="s">
        <v>8</v>
      </c>
      <c r="C19" s="4" t="s">
        <v>18</v>
      </c>
      <c r="D19" s="4">
        <v>4.6100000000000003</v>
      </c>
      <c r="E19" s="4">
        <v>2.2440000000000002</v>
      </c>
      <c r="F19" s="4">
        <v>488.8</v>
      </c>
      <c r="H19" s="2">
        <f>H18-E19</f>
        <v>0.73599999999999932</v>
      </c>
      <c r="I19" s="6"/>
      <c r="J19" s="4">
        <f>D19</f>
        <v>4.6100000000000003</v>
      </c>
      <c r="K19" s="3">
        <f>K18-E19</f>
        <v>-0.19400000000000039</v>
      </c>
      <c r="L19" s="21">
        <f>L18-E19</f>
        <v>9.5660000000000007</v>
      </c>
      <c r="Q19">
        <f>F19</f>
        <v>488.8</v>
      </c>
      <c r="R19" s="15">
        <f t="shared" si="1"/>
        <v>488.8</v>
      </c>
    </row>
    <row r="20" spans="1:26" x14ac:dyDescent="0.25">
      <c r="A20" s="16">
        <v>0.75</v>
      </c>
      <c r="B20" t="s">
        <v>8</v>
      </c>
      <c r="C20" s="3" t="s">
        <v>20</v>
      </c>
      <c r="D20" s="3">
        <v>2.0499999999999998</v>
      </c>
      <c r="E20" s="3">
        <v>1.32</v>
      </c>
      <c r="F20" s="3">
        <v>333.2</v>
      </c>
      <c r="H20" s="2">
        <f>H19-E20</f>
        <v>-0.58400000000000074</v>
      </c>
      <c r="I20" s="6"/>
      <c r="J20" s="4">
        <f>J19-E20</f>
        <v>3.29</v>
      </c>
      <c r="K20" s="3">
        <f>D20</f>
        <v>2.0499999999999998</v>
      </c>
      <c r="L20" s="21">
        <f>L19-E20</f>
        <v>8.2460000000000004</v>
      </c>
      <c r="Q20">
        <f>F20</f>
        <v>333.2</v>
      </c>
      <c r="R20" s="15">
        <f t="shared" si="1"/>
        <v>333.2</v>
      </c>
    </row>
    <row r="21" spans="1:26" x14ac:dyDescent="0.25">
      <c r="E21" s="9">
        <f>SUM(E11:E20)</f>
        <v>15.048000000000002</v>
      </c>
      <c r="F21" s="9">
        <f>SUM(F11:F20)</f>
        <v>4836.3874999999998</v>
      </c>
      <c r="G21" s="7">
        <f>F21/E21</f>
        <v>321.39736177565118</v>
      </c>
      <c r="H21" s="7" t="s">
        <v>3</v>
      </c>
      <c r="R21" s="9">
        <f>SUM(R11:R20)</f>
        <v>5122.0474999999997</v>
      </c>
      <c r="S21" s="7" t="s">
        <v>14</v>
      </c>
      <c r="W21" s="7" t="s">
        <v>23</v>
      </c>
    </row>
    <row r="22" spans="1:26" x14ac:dyDescent="0.25">
      <c r="R22" s="7">
        <f>R21/E21</f>
        <v>340.38061536416791</v>
      </c>
      <c r="S22" s="7" t="s">
        <v>11</v>
      </c>
      <c r="W22" s="13">
        <v>0.564083</v>
      </c>
      <c r="X22" s="9" t="s">
        <v>10</v>
      </c>
      <c r="Y22" s="9">
        <v>0.433</v>
      </c>
      <c r="Z22" s="9" t="s">
        <v>9</v>
      </c>
    </row>
    <row r="23" spans="1:26" x14ac:dyDescent="0.25">
      <c r="M23" s="19" t="s">
        <v>24</v>
      </c>
    </row>
    <row r="24" spans="1:26" x14ac:dyDescent="0.25">
      <c r="B24" s="10" t="s">
        <v>7</v>
      </c>
      <c r="C24" s="2" t="s">
        <v>15</v>
      </c>
      <c r="D24" s="2">
        <v>5.62</v>
      </c>
      <c r="E24" s="2">
        <v>1.1879999999999999</v>
      </c>
      <c r="F24" s="2">
        <f>(894.2*A29*A30*A31)+(775.1*(1-(A29*A30*A31)-((1-A30)*(1-A31))))+(655.9*(1-A30)*(1-A31))</f>
        <v>850.13000000000011</v>
      </c>
      <c r="G24" s="2"/>
      <c r="H24" s="2">
        <f>D24</f>
        <v>5.62</v>
      </c>
      <c r="I24" s="4">
        <f>I31-E24</f>
        <v>-0.2739999999999998</v>
      </c>
      <c r="J24" s="3"/>
      <c r="K24" s="1">
        <f>K31-E24</f>
        <v>1.2620000000000002</v>
      </c>
      <c r="M24">
        <v>4</v>
      </c>
      <c r="N24">
        <f>E24-0.2+0.767</f>
        <v>1.7549999999999999</v>
      </c>
      <c r="O24" s="18">
        <f>(4%*M24)*N24/N$32</f>
        <v>1.9696969696969695E-2</v>
      </c>
      <c r="Q24">
        <f>F24</f>
        <v>850.13000000000011</v>
      </c>
      <c r="R24" s="15">
        <f t="shared" ref="R24:R31" si="3">(P24+Q24)</f>
        <v>850.13000000000011</v>
      </c>
      <c r="U24" s="14" t="s">
        <v>26</v>
      </c>
      <c r="V24" s="11">
        <f>V31-E24</f>
        <v>0.24099999999999988</v>
      </c>
      <c r="W24" s="11">
        <f>W31-E24</f>
        <v>7.3690000000000007</v>
      </c>
      <c r="X24" s="9">
        <f>(R24*1.2*(1-((1-W$22)*(1-W$22))))+(R24*1*((1-W$22)*(1-W$22)))</f>
        <v>987.84704213446696</v>
      </c>
    </row>
    <row r="25" spans="1:26" x14ac:dyDescent="0.25">
      <c r="A25" s="16">
        <v>1</v>
      </c>
      <c r="B25" t="s">
        <v>8</v>
      </c>
      <c r="C25" s="4" t="s">
        <v>18</v>
      </c>
      <c r="D25" s="4">
        <v>4.6100000000000003</v>
      </c>
      <c r="E25" s="4">
        <v>2.2440000000000002</v>
      </c>
      <c r="F25" s="4">
        <v>523.6</v>
      </c>
      <c r="H25" s="2">
        <f>H24-E25</f>
        <v>3.3759999999999999</v>
      </c>
      <c r="I25" s="4">
        <f>D25</f>
        <v>4.6100000000000003</v>
      </c>
      <c r="J25" s="3"/>
      <c r="K25" s="1">
        <f>J24-E25</f>
        <v>-2.2440000000000002</v>
      </c>
      <c r="M25">
        <v>0</v>
      </c>
      <c r="N25">
        <f>E25-0.767+0.567</f>
        <v>2.0440000000000005</v>
      </c>
      <c r="O25" s="18">
        <f t="shared" ref="O25:O31" si="4">(4%*M25)*N25/N$32</f>
        <v>0</v>
      </c>
      <c r="P25">
        <f>846.9*Q$8</f>
        <v>762.21</v>
      </c>
      <c r="Q25">
        <f>(1-Q$8)*F25</f>
        <v>52.359999999999992</v>
      </c>
      <c r="R25" s="15">
        <f t="shared" si="3"/>
        <v>814.57</v>
      </c>
      <c r="U25" s="14" t="s">
        <v>22</v>
      </c>
      <c r="V25" s="11"/>
      <c r="W25" s="11">
        <f>W24-E25</f>
        <v>5.125</v>
      </c>
      <c r="X25" s="9">
        <f>(R25*1.2*W$22)+(R25*(1-W$22))</f>
        <v>906.46701786200003</v>
      </c>
    </row>
    <row r="26" spans="1:26" x14ac:dyDescent="0.25">
      <c r="A26" s="16">
        <v>0.75</v>
      </c>
      <c r="B26" t="s">
        <v>8</v>
      </c>
      <c r="C26" s="3" t="s">
        <v>20</v>
      </c>
      <c r="D26" s="3">
        <v>2.0499999999999998</v>
      </c>
      <c r="E26" s="3">
        <v>1.32</v>
      </c>
      <c r="F26" s="3">
        <v>333.2</v>
      </c>
      <c r="G26" s="1"/>
      <c r="H26" s="2">
        <f>H25-E26</f>
        <v>2.056</v>
      </c>
      <c r="I26" s="4">
        <f>I25-E26</f>
        <v>3.29</v>
      </c>
      <c r="J26" s="3">
        <f>D26</f>
        <v>2.0499999999999998</v>
      </c>
      <c r="M26">
        <v>1</v>
      </c>
      <c r="N26">
        <f>E26-0.567+0.433</f>
        <v>1.1860000000000002</v>
      </c>
      <c r="O26" s="18">
        <f t="shared" si="4"/>
        <v>3.3277216610549951E-3</v>
      </c>
      <c r="Q26">
        <f>F26</f>
        <v>333.2</v>
      </c>
      <c r="R26" s="15">
        <f t="shared" si="3"/>
        <v>333.2</v>
      </c>
      <c r="U26" s="14" t="s">
        <v>22</v>
      </c>
      <c r="W26" s="11">
        <f>W25-E26</f>
        <v>3.8049999999999997</v>
      </c>
      <c r="X26" s="9">
        <f>(R26*1.2*W$22)+(R26*(1-W$22))</f>
        <v>370.79049111999996</v>
      </c>
    </row>
    <row r="27" spans="1:26" x14ac:dyDescent="0.25">
      <c r="A27" s="16">
        <v>0.88</v>
      </c>
      <c r="B27" t="s">
        <v>8</v>
      </c>
      <c r="C27" s="1" t="s">
        <v>21</v>
      </c>
      <c r="D27" s="1">
        <v>3.08</v>
      </c>
      <c r="E27" s="1">
        <v>2.3759999999999999</v>
      </c>
      <c r="F27" s="1">
        <v>329.1</v>
      </c>
      <c r="H27" s="2">
        <f>H26-E27</f>
        <v>-0.31999999999999984</v>
      </c>
      <c r="I27" s="4">
        <f>I26-E27</f>
        <v>0.91400000000000015</v>
      </c>
      <c r="J27" s="3">
        <f>J26-E27</f>
        <v>-0.32600000000000007</v>
      </c>
      <c r="K27" s="1">
        <v>2.4500000000000002</v>
      </c>
      <c r="L27" s="7" t="s">
        <v>12</v>
      </c>
      <c r="M27">
        <v>2</v>
      </c>
      <c r="N27">
        <f>E27-0.433+0.2</f>
        <v>2.1429999999999998</v>
      </c>
      <c r="O27" s="18">
        <f t="shared" si="4"/>
        <v>1.2025813692480358E-2</v>
      </c>
      <c r="Q27">
        <f>F27</f>
        <v>329.1</v>
      </c>
      <c r="R27" s="15">
        <f t="shared" si="3"/>
        <v>329.1</v>
      </c>
      <c r="U27" s="14" t="s">
        <v>22</v>
      </c>
      <c r="V27" s="15">
        <f>10.5-(E27-Y$22)</f>
        <v>8.5570000000000004</v>
      </c>
      <c r="W27" s="11">
        <f>W26-E27</f>
        <v>1.4289999999999998</v>
      </c>
      <c r="X27" s="9">
        <f>(R27*1.2*W$22)+(R27*(1-W$22))</f>
        <v>366.22794306000003</v>
      </c>
    </row>
    <row r="28" spans="1:26" x14ac:dyDescent="0.25">
      <c r="B28" s="10" t="s">
        <v>7</v>
      </c>
      <c r="C28" s="2" t="s">
        <v>15</v>
      </c>
      <c r="D28" s="2">
        <v>5.62</v>
      </c>
      <c r="E28" s="2">
        <v>1.1879999999999999</v>
      </c>
      <c r="F28" s="2">
        <f>(894.2*A25*A26*A27)+(775.1*(1-(A25*A26*A27)-((1-A26)*(1-A27))))+(655.9*(1-A26)*(1-A27))</f>
        <v>850.13000000000011</v>
      </c>
      <c r="G28" s="2"/>
      <c r="H28" s="2">
        <f>D28</f>
        <v>5.62</v>
      </c>
      <c r="I28" s="4">
        <f>I27-E28</f>
        <v>-0.2739999999999998</v>
      </c>
      <c r="J28" s="3"/>
      <c r="K28" s="1">
        <f>K27-E28</f>
        <v>1.2620000000000002</v>
      </c>
      <c r="M28">
        <v>4</v>
      </c>
      <c r="N28">
        <f>E28-0.2+0.767</f>
        <v>1.7549999999999999</v>
      </c>
      <c r="O28" s="18">
        <f t="shared" si="4"/>
        <v>1.9696969696969695E-2</v>
      </c>
      <c r="Q28">
        <f>F28</f>
        <v>850.13000000000011</v>
      </c>
      <c r="R28" s="15">
        <f t="shared" si="3"/>
        <v>850.13000000000011</v>
      </c>
      <c r="U28" s="14" t="s">
        <v>26</v>
      </c>
      <c r="V28" s="11">
        <f>V27-E28</f>
        <v>7.3690000000000007</v>
      </c>
      <c r="W28" s="11">
        <f>W27-E28</f>
        <v>0.24099999999999988</v>
      </c>
      <c r="X28" s="9">
        <f>(R28*1.2*(1-((1-W$22)*(1-W$22))))+(R28*1*((1-W$22)*(1-W$22)))</f>
        <v>987.84704213446696</v>
      </c>
    </row>
    <row r="29" spans="1:26" x14ac:dyDescent="0.25">
      <c r="A29" s="16">
        <v>1</v>
      </c>
      <c r="B29" t="s">
        <v>8</v>
      </c>
      <c r="C29" s="4" t="s">
        <v>18</v>
      </c>
      <c r="D29" s="4">
        <v>4.6100000000000003</v>
      </c>
      <c r="E29" s="4">
        <v>2.2440000000000002</v>
      </c>
      <c r="F29" s="4">
        <v>523.6</v>
      </c>
      <c r="H29" s="2">
        <f>H28-E29</f>
        <v>3.3759999999999999</v>
      </c>
      <c r="I29" s="4">
        <f>D29</f>
        <v>4.6100000000000003</v>
      </c>
      <c r="J29" s="3"/>
      <c r="K29" s="1">
        <f>J28-E29</f>
        <v>-2.2440000000000002</v>
      </c>
      <c r="M29">
        <v>0</v>
      </c>
      <c r="N29">
        <f>E29-0.767+0.567</f>
        <v>2.0440000000000005</v>
      </c>
      <c r="O29" s="18">
        <f t="shared" si="4"/>
        <v>0</v>
      </c>
      <c r="P29">
        <f>846.9*Q$8</f>
        <v>762.21</v>
      </c>
      <c r="Q29">
        <f>(1-Q$8)*F29</f>
        <v>52.359999999999992</v>
      </c>
      <c r="R29" s="15">
        <f t="shared" si="3"/>
        <v>814.57</v>
      </c>
      <c r="U29" s="14" t="s">
        <v>22</v>
      </c>
      <c r="V29" s="11">
        <f>V28-E29</f>
        <v>5.125</v>
      </c>
      <c r="W29" s="11"/>
      <c r="X29" s="9">
        <f>(R29*1.2*W$22)+(R29*(1-W$22))</f>
        <v>906.46701786200003</v>
      </c>
    </row>
    <row r="30" spans="1:26" x14ac:dyDescent="0.25">
      <c r="A30" s="16">
        <v>0.75</v>
      </c>
      <c r="B30" t="s">
        <v>8</v>
      </c>
      <c r="C30" s="3" t="s">
        <v>20</v>
      </c>
      <c r="D30" s="3">
        <v>2.0499999999999998</v>
      </c>
      <c r="E30" s="3">
        <v>1.32</v>
      </c>
      <c r="F30" s="3">
        <v>333.2</v>
      </c>
      <c r="G30" s="1"/>
      <c r="H30" s="2">
        <f>H29-E30</f>
        <v>2.056</v>
      </c>
      <c r="I30" s="4">
        <f>I29-E30</f>
        <v>3.29</v>
      </c>
      <c r="J30" s="3">
        <f>D30</f>
        <v>2.0499999999999998</v>
      </c>
      <c r="M30">
        <v>1</v>
      </c>
      <c r="N30">
        <f>E30-0.567+0.433</f>
        <v>1.1860000000000002</v>
      </c>
      <c r="O30" s="18">
        <f t="shared" si="4"/>
        <v>3.3277216610549951E-3</v>
      </c>
      <c r="Q30">
        <f>F30</f>
        <v>333.2</v>
      </c>
      <c r="R30" s="15">
        <f t="shared" si="3"/>
        <v>333.2</v>
      </c>
      <c r="U30" s="14" t="s">
        <v>22</v>
      </c>
      <c r="V30" s="11">
        <f>V29-E30</f>
        <v>3.8049999999999997</v>
      </c>
      <c r="X30" s="9">
        <f>(R30*1.2*W$22)+(R30*(1-W$22))</f>
        <v>370.79049111999996</v>
      </c>
    </row>
    <row r="31" spans="1:26" x14ac:dyDescent="0.25">
      <c r="A31" s="16">
        <v>0.88</v>
      </c>
      <c r="B31" t="s">
        <v>8</v>
      </c>
      <c r="C31" s="1" t="s">
        <v>21</v>
      </c>
      <c r="D31" s="1">
        <v>3.08</v>
      </c>
      <c r="E31" s="1">
        <v>2.3759999999999999</v>
      </c>
      <c r="F31" s="1">
        <v>329.1</v>
      </c>
      <c r="H31" s="2">
        <f>H30-E31</f>
        <v>-0.31999999999999984</v>
      </c>
      <c r="I31" s="4">
        <f>I30-E31</f>
        <v>0.91400000000000015</v>
      </c>
      <c r="J31" s="3">
        <f>J30-E31</f>
        <v>-0.32600000000000007</v>
      </c>
      <c r="K31" s="1">
        <v>2.4500000000000002</v>
      </c>
      <c r="L31" s="7" t="s">
        <v>12</v>
      </c>
      <c r="M31">
        <v>2</v>
      </c>
      <c r="N31">
        <f>E31-0.433+0.2</f>
        <v>2.1429999999999998</v>
      </c>
      <c r="O31" s="18">
        <f t="shared" si="4"/>
        <v>1.2025813692480358E-2</v>
      </c>
      <c r="Q31">
        <f>F31</f>
        <v>329.1</v>
      </c>
      <c r="R31" s="15">
        <f t="shared" si="3"/>
        <v>329.1</v>
      </c>
      <c r="U31" s="14" t="s">
        <v>22</v>
      </c>
      <c r="V31" s="11">
        <f>V30-E31</f>
        <v>1.4289999999999998</v>
      </c>
      <c r="W31" s="15">
        <f>10.5-(E31-Y$22)</f>
        <v>8.5570000000000004</v>
      </c>
      <c r="X31" s="9">
        <f>(R31*1.2*W$22)+(R31*(1-W$22))</f>
        <v>366.22794306000003</v>
      </c>
    </row>
    <row r="32" spans="1:26" x14ac:dyDescent="0.25">
      <c r="E32" s="9">
        <f>SUM(E24:E31)</f>
        <v>14.256</v>
      </c>
      <c r="F32" s="9">
        <f>SUM(F24:F31)</f>
        <v>4072.06</v>
      </c>
      <c r="G32" s="7">
        <f>F32/E32</f>
        <v>285.63832772166103</v>
      </c>
      <c r="H32" s="7" t="s">
        <v>3</v>
      </c>
      <c r="N32" s="9">
        <f>SUM(N24:N31)</f>
        <v>14.256</v>
      </c>
      <c r="O32" s="20">
        <f>SUM(O24:O31)</f>
        <v>7.0101010101010094E-2</v>
      </c>
      <c r="P32" s="7" t="s">
        <v>25</v>
      </c>
      <c r="R32" s="9">
        <f>SUM(R24:R31)</f>
        <v>4654.0000000000009</v>
      </c>
      <c r="S32" s="7" t="s">
        <v>14</v>
      </c>
      <c r="V32" s="11"/>
      <c r="X32" s="9">
        <f>SUM(X24:X31)</f>
        <v>5262.6649883529344</v>
      </c>
      <c r="Y32" s="7" t="s">
        <v>14</v>
      </c>
    </row>
    <row r="33" spans="1:25" x14ac:dyDescent="0.25">
      <c r="R33" s="7">
        <f>R32/E32</f>
        <v>326.45903479236819</v>
      </c>
      <c r="S33" s="7" t="s">
        <v>11</v>
      </c>
      <c r="X33" s="7">
        <f>X32/E32</f>
        <v>369.15439031656388</v>
      </c>
      <c r="Y33" s="7" t="s">
        <v>11</v>
      </c>
    </row>
    <row r="35" spans="1:25" x14ac:dyDescent="0.25">
      <c r="B35" s="10" t="s">
        <v>7</v>
      </c>
      <c r="C35" s="2" t="s">
        <v>15</v>
      </c>
      <c r="D35" s="2">
        <v>5.62</v>
      </c>
      <c r="E35" s="2">
        <v>1.1879999999999999</v>
      </c>
      <c r="F35" s="2">
        <f>(894.2*A40*A41*A42)+(775.1*(1-(A40*A41*A42)-((1-A41)*(1-A42))))+(655.9*(1-A41)*(1-A42))</f>
        <v>850.13000000000011</v>
      </c>
      <c r="G35" s="2"/>
      <c r="H35" s="2">
        <f>D35</f>
        <v>5.62</v>
      </c>
      <c r="I35" s="3"/>
      <c r="J35" s="5">
        <f>J42-E35</f>
        <v>-0.81399999999999983</v>
      </c>
      <c r="K35" s="1">
        <f>K42-E35</f>
        <v>1.2620000000000002</v>
      </c>
      <c r="Q35">
        <f>F35</f>
        <v>850.13000000000011</v>
      </c>
      <c r="R35" s="15">
        <f t="shared" ref="R35:R42" si="5">(P35+Q35)</f>
        <v>850.13000000000011</v>
      </c>
      <c r="U35" s="14" t="s">
        <v>26</v>
      </c>
      <c r="V35" s="11">
        <f>V42-E35</f>
        <v>0.10900000000000021</v>
      </c>
      <c r="W35" s="11">
        <f>W42-E35</f>
        <v>7.3690000000000007</v>
      </c>
      <c r="X35" s="9">
        <f>(R35*1.2*(1-((1-W$22)*(1-W$22))))+(R35*1*((1-W$22)*(1-W$22)))</f>
        <v>987.84704213446696</v>
      </c>
    </row>
    <row r="36" spans="1:25" x14ac:dyDescent="0.25">
      <c r="A36" s="16">
        <v>1</v>
      </c>
      <c r="B36" t="s">
        <v>8</v>
      </c>
      <c r="C36" s="5" t="s">
        <v>17</v>
      </c>
      <c r="D36" s="5">
        <v>4.07</v>
      </c>
      <c r="E36" s="5">
        <v>2.3759999999999999</v>
      </c>
      <c r="F36" s="5">
        <v>268.2</v>
      </c>
      <c r="H36" s="2">
        <f>H35-E36</f>
        <v>3.2440000000000002</v>
      </c>
      <c r="I36" s="3"/>
      <c r="J36" s="5">
        <f>D36</f>
        <v>4.07</v>
      </c>
      <c r="K36" s="1">
        <f>K35-E36</f>
        <v>-1.1139999999999997</v>
      </c>
      <c r="P36">
        <f>347.4*Q$8</f>
        <v>312.65999999999997</v>
      </c>
      <c r="Q36">
        <f>(1-Q$8)*F36</f>
        <v>26.819999999999993</v>
      </c>
      <c r="R36" s="15">
        <f t="shared" si="5"/>
        <v>339.47999999999996</v>
      </c>
      <c r="U36" s="14" t="s">
        <v>22</v>
      </c>
      <c r="V36" s="11"/>
      <c r="W36" s="11">
        <f>W35-E36</f>
        <v>4.9930000000000003</v>
      </c>
      <c r="X36" s="9">
        <f>(R36*1.2*W$22)+(R36*(1-W$22))</f>
        <v>377.77897936799991</v>
      </c>
    </row>
    <row r="37" spans="1:25" x14ac:dyDescent="0.25">
      <c r="A37" s="16">
        <v>0.75</v>
      </c>
      <c r="B37" t="s">
        <v>8</v>
      </c>
      <c r="C37" s="3" t="s">
        <v>20</v>
      </c>
      <c r="D37" s="3">
        <v>2.0499999999999998</v>
      </c>
      <c r="E37" s="3">
        <v>1.32</v>
      </c>
      <c r="F37" s="3">
        <v>333.2</v>
      </c>
      <c r="G37" s="1"/>
      <c r="H37" s="2">
        <f>H36-E37</f>
        <v>1.9240000000000002</v>
      </c>
      <c r="I37" s="3">
        <f>D37</f>
        <v>2.0499999999999998</v>
      </c>
      <c r="J37" s="5">
        <f>J36-E37</f>
        <v>2.75</v>
      </c>
      <c r="K37" s="17"/>
      <c r="L37" s="7" t="s">
        <v>12</v>
      </c>
      <c r="Q37">
        <f>F37</f>
        <v>333.2</v>
      </c>
      <c r="R37" s="15">
        <f t="shared" si="5"/>
        <v>333.2</v>
      </c>
      <c r="U37" s="14" t="s">
        <v>22</v>
      </c>
      <c r="W37" s="11">
        <f>W36-E37</f>
        <v>3.673</v>
      </c>
      <c r="X37" s="9">
        <f>(R37*1.2*W$22)+(R37*(1-W$22))</f>
        <v>370.79049111999996</v>
      </c>
    </row>
    <row r="38" spans="1:25" x14ac:dyDescent="0.25">
      <c r="A38" s="16">
        <v>0.88</v>
      </c>
      <c r="B38" t="s">
        <v>8</v>
      </c>
      <c r="C38" s="1" t="s">
        <v>21</v>
      </c>
      <c r="D38" s="1">
        <v>3.08</v>
      </c>
      <c r="E38" s="1">
        <v>2.3759999999999999</v>
      </c>
      <c r="F38" s="1">
        <v>329.1</v>
      </c>
      <c r="H38" s="2">
        <f>H37-E38</f>
        <v>-0.45199999999999974</v>
      </c>
      <c r="I38" s="3">
        <f>I37-E38</f>
        <v>-0.32600000000000007</v>
      </c>
      <c r="J38" s="5">
        <f>J37-E38</f>
        <v>0.37400000000000011</v>
      </c>
      <c r="K38" s="1">
        <v>2.4500000000000002</v>
      </c>
      <c r="L38" s="7" t="s">
        <v>12</v>
      </c>
      <c r="Q38">
        <f>F38</f>
        <v>329.1</v>
      </c>
      <c r="R38" s="15">
        <f t="shared" si="5"/>
        <v>329.1</v>
      </c>
      <c r="U38" s="14" t="s">
        <v>22</v>
      </c>
      <c r="V38" s="15">
        <f>10.5-(E38-Y$22)</f>
        <v>8.5570000000000004</v>
      </c>
      <c r="W38" s="11">
        <f>W37-E38</f>
        <v>1.2970000000000002</v>
      </c>
      <c r="X38" s="9">
        <f>(R38*1.2*W$22)+(R38*(1-W$22))</f>
        <v>366.22794306000003</v>
      </c>
    </row>
    <row r="39" spans="1:25" x14ac:dyDescent="0.25">
      <c r="B39" s="10" t="s">
        <v>7</v>
      </c>
      <c r="C39" s="2" t="s">
        <v>15</v>
      </c>
      <c r="D39" s="2">
        <v>5.62</v>
      </c>
      <c r="E39" s="2">
        <v>1.1879999999999999</v>
      </c>
      <c r="F39" s="2">
        <f>(894.2*A36*A37*A38)+(775.1*(1-(A36*A37*A38)-((1-A37)*(1-A38))))+(655.9*(1-A37)*(1-A38))</f>
        <v>850.13000000000011</v>
      </c>
      <c r="G39" s="2"/>
      <c r="H39" s="2">
        <f>D39</f>
        <v>5.62</v>
      </c>
      <c r="I39" s="3"/>
      <c r="J39" s="5">
        <f>J38-E39</f>
        <v>-0.81399999999999983</v>
      </c>
      <c r="K39" s="1">
        <f>K38-E39</f>
        <v>1.2620000000000002</v>
      </c>
      <c r="Q39">
        <f>F39</f>
        <v>850.13000000000011</v>
      </c>
      <c r="R39" s="15">
        <f t="shared" si="5"/>
        <v>850.13000000000011</v>
      </c>
      <c r="U39" s="14" t="s">
        <v>26</v>
      </c>
      <c r="V39" s="11">
        <f>V38-E39</f>
        <v>7.3690000000000007</v>
      </c>
      <c r="W39" s="11">
        <f>W38-E39</f>
        <v>0.10900000000000021</v>
      </c>
      <c r="X39" s="9">
        <f>(R39*1.2*(1-((1-W$22)*(1-W$22))))+(R39*1*((1-W$22)*(1-W$22)))</f>
        <v>987.84704213446696</v>
      </c>
    </row>
    <row r="40" spans="1:25" x14ac:dyDescent="0.25">
      <c r="A40" s="16">
        <v>1</v>
      </c>
      <c r="B40" t="s">
        <v>8</v>
      </c>
      <c r="C40" s="5" t="s">
        <v>17</v>
      </c>
      <c r="D40" s="5">
        <v>4.07</v>
      </c>
      <c r="E40" s="5">
        <v>2.3759999999999999</v>
      </c>
      <c r="F40" s="5">
        <v>268.2</v>
      </c>
      <c r="H40" s="2">
        <f>H39-E40</f>
        <v>3.2440000000000002</v>
      </c>
      <c r="I40" s="3"/>
      <c r="J40" s="5">
        <f>D40</f>
        <v>4.07</v>
      </c>
      <c r="K40" s="1">
        <f>K39-E40</f>
        <v>-1.1139999999999997</v>
      </c>
      <c r="P40">
        <f>347.4*Q$8</f>
        <v>312.65999999999997</v>
      </c>
      <c r="Q40">
        <f>(1-Q$8)*F40</f>
        <v>26.819999999999993</v>
      </c>
      <c r="R40" s="15">
        <f t="shared" si="5"/>
        <v>339.47999999999996</v>
      </c>
      <c r="U40" s="14" t="s">
        <v>22</v>
      </c>
      <c r="V40" s="11">
        <f>V39-E40</f>
        <v>4.9930000000000003</v>
      </c>
      <c r="W40" s="11"/>
      <c r="X40" s="9">
        <f>(R40*1.2*W$22)+(R40*(1-W$22))</f>
        <v>377.77897936799991</v>
      </c>
    </row>
    <row r="41" spans="1:25" x14ac:dyDescent="0.25">
      <c r="A41" s="16">
        <v>0.75</v>
      </c>
      <c r="B41" t="s">
        <v>8</v>
      </c>
      <c r="C41" s="3" t="s">
        <v>20</v>
      </c>
      <c r="D41" s="3">
        <v>2.0499999999999998</v>
      </c>
      <c r="E41" s="3">
        <v>1.32</v>
      </c>
      <c r="F41" s="3">
        <v>333.2</v>
      </c>
      <c r="G41" s="1"/>
      <c r="H41" s="2">
        <f>H40-E41</f>
        <v>1.9240000000000002</v>
      </c>
      <c r="I41" s="3">
        <f>D41</f>
        <v>2.0499999999999998</v>
      </c>
      <c r="J41" s="5">
        <f>J40-E41</f>
        <v>2.75</v>
      </c>
      <c r="K41" s="17"/>
      <c r="L41" s="7" t="s">
        <v>12</v>
      </c>
      <c r="Q41">
        <f>F41</f>
        <v>333.2</v>
      </c>
      <c r="R41" s="15">
        <f t="shared" si="5"/>
        <v>333.2</v>
      </c>
      <c r="U41" s="14" t="s">
        <v>22</v>
      </c>
      <c r="V41" s="11">
        <f>V40-E41</f>
        <v>3.673</v>
      </c>
      <c r="X41" s="9">
        <f>(R41*1.2*W$22)+(R41*(1-W$22))</f>
        <v>370.79049111999996</v>
      </c>
    </row>
    <row r="42" spans="1:25" x14ac:dyDescent="0.25">
      <c r="A42" s="16">
        <v>0.88</v>
      </c>
      <c r="B42" t="s">
        <v>8</v>
      </c>
      <c r="C42" s="1" t="s">
        <v>21</v>
      </c>
      <c r="D42" s="1">
        <v>3.08</v>
      </c>
      <c r="E42" s="1">
        <v>2.3759999999999999</v>
      </c>
      <c r="F42" s="1">
        <v>329.1</v>
      </c>
      <c r="H42" s="2">
        <f>H41-E42</f>
        <v>-0.45199999999999974</v>
      </c>
      <c r="I42" s="3">
        <f>I41-E42</f>
        <v>-0.32600000000000007</v>
      </c>
      <c r="J42" s="5">
        <f>J41-E42</f>
        <v>0.37400000000000011</v>
      </c>
      <c r="K42" s="1">
        <v>2.4500000000000002</v>
      </c>
      <c r="L42" s="7" t="s">
        <v>12</v>
      </c>
      <c r="Q42">
        <f>F42</f>
        <v>329.1</v>
      </c>
      <c r="R42" s="15">
        <f t="shared" si="5"/>
        <v>329.1</v>
      </c>
      <c r="U42" s="14" t="s">
        <v>22</v>
      </c>
      <c r="V42" s="11">
        <f>V41-E42</f>
        <v>1.2970000000000002</v>
      </c>
      <c r="W42" s="15">
        <f>10.5-(E42-Y$22)</f>
        <v>8.5570000000000004</v>
      </c>
      <c r="X42" s="9">
        <f>(R42*1.2*W$22)+(R42*(1-W$22))</f>
        <v>366.22794306000003</v>
      </c>
    </row>
    <row r="43" spans="1:25" x14ac:dyDescent="0.25">
      <c r="E43" s="9">
        <f>SUM(E35:E42)</f>
        <v>14.52</v>
      </c>
      <c r="F43" s="9">
        <f>SUM(F35:F42)</f>
        <v>3561.2599999999998</v>
      </c>
      <c r="G43" s="7">
        <f>F43/E43</f>
        <v>245.26584022038566</v>
      </c>
      <c r="H43" s="7" t="s">
        <v>3</v>
      </c>
      <c r="L43" s="1"/>
      <c r="R43" s="9">
        <f>SUM(R35:R42)</f>
        <v>3703.82</v>
      </c>
      <c r="S43" s="7" t="s">
        <v>14</v>
      </c>
      <c r="X43" s="9">
        <f>SUM(X35:X42)</f>
        <v>4205.2889113649335</v>
      </c>
      <c r="Y43" s="7" t="s">
        <v>14</v>
      </c>
    </row>
    <row r="44" spans="1:25" x14ac:dyDescent="0.25">
      <c r="R44" s="7">
        <f>R43/E43</f>
        <v>255.08402203856753</v>
      </c>
      <c r="S44" s="7" t="s">
        <v>11</v>
      </c>
      <c r="X44" s="7">
        <f>X43/E43</f>
        <v>289.62044844111114</v>
      </c>
      <c r="Y44" s="7" t="s">
        <v>11</v>
      </c>
    </row>
    <row r="46" spans="1:25" x14ac:dyDescent="0.25">
      <c r="B46" s="10" t="s">
        <v>7</v>
      </c>
      <c r="C46" s="2" t="s">
        <v>15</v>
      </c>
      <c r="D46" s="2">
        <v>5.62</v>
      </c>
      <c r="E46" s="2">
        <v>1.1879999999999999</v>
      </c>
      <c r="F46" s="2">
        <f>(894.2*A52*A53*A54)+(775.1*(1-(A52*A53*A54)-((1-A53)*(1-A54))))+(655.9*(1-A53)*(1-A54))</f>
        <v>850.13000000000011</v>
      </c>
      <c r="G46" s="2"/>
      <c r="H46" s="2">
        <f>D46</f>
        <v>5.62</v>
      </c>
      <c r="I46" s="3"/>
      <c r="J46" s="5">
        <f>J54-E46</f>
        <v>-0.81399999999999983</v>
      </c>
      <c r="K46" s="1">
        <f>K54-E46</f>
        <v>1.2620000000000002</v>
      </c>
      <c r="L46" s="21">
        <f>L54-E46</f>
        <v>5.8700000000000019</v>
      </c>
      <c r="Q46">
        <f>F46</f>
        <v>850.13000000000011</v>
      </c>
      <c r="R46" s="15">
        <f t="shared" ref="R46:R54" si="6">(P46+Q46)</f>
        <v>850.13000000000011</v>
      </c>
      <c r="U46" s="14" t="s">
        <v>22</v>
      </c>
      <c r="V46" s="11"/>
      <c r="W46" s="11">
        <f>W54-E46</f>
        <v>7.3690000000000007</v>
      </c>
      <c r="X46" s="9">
        <f>(R46*1.2*W$22)+(R46*(1-W$22))</f>
        <v>946.03877615800002</v>
      </c>
    </row>
    <row r="47" spans="1:25" x14ac:dyDescent="0.25">
      <c r="A47" s="16">
        <v>1</v>
      </c>
      <c r="B47" t="s">
        <v>8</v>
      </c>
      <c r="C47" s="5" t="s">
        <v>17</v>
      </c>
      <c r="D47" s="5">
        <v>4.07</v>
      </c>
      <c r="E47" s="5">
        <v>2.3759999999999999</v>
      </c>
      <c r="F47" s="5">
        <v>268.2</v>
      </c>
      <c r="H47" s="2">
        <f>H46-E47</f>
        <v>3.2440000000000002</v>
      </c>
      <c r="I47" s="3"/>
      <c r="J47" s="5">
        <f>D47</f>
        <v>4.07</v>
      </c>
      <c r="K47" s="1">
        <f>K46-E47</f>
        <v>-1.1139999999999997</v>
      </c>
      <c r="L47" s="21">
        <f>L46-E47</f>
        <v>3.494000000000002</v>
      </c>
      <c r="P47">
        <f>347.4*Q$8</f>
        <v>312.65999999999997</v>
      </c>
      <c r="Q47">
        <f>(1-Q$8)*F47</f>
        <v>26.819999999999993</v>
      </c>
      <c r="R47" s="15">
        <f t="shared" si="6"/>
        <v>339.47999999999996</v>
      </c>
      <c r="U47" s="14" t="s">
        <v>22</v>
      </c>
      <c r="V47" s="11"/>
      <c r="W47" s="11">
        <f>W46-E47</f>
        <v>4.9930000000000003</v>
      </c>
      <c r="X47" s="9">
        <f>(R47*1.2*W$22)+(R47*(1-W$22))</f>
        <v>377.77897936799991</v>
      </c>
    </row>
    <row r="48" spans="1:25" x14ac:dyDescent="0.25">
      <c r="A48" s="16">
        <v>0.75</v>
      </c>
      <c r="B48" t="s">
        <v>8</v>
      </c>
      <c r="C48" s="3" t="s">
        <v>20</v>
      </c>
      <c r="D48" s="3">
        <v>2.0499999999999998</v>
      </c>
      <c r="E48" s="3">
        <v>1.32</v>
      </c>
      <c r="F48" s="3">
        <v>333.2</v>
      </c>
      <c r="G48" s="1"/>
      <c r="H48" s="2">
        <f t="shared" ref="H48:H49" si="7">H47-E48</f>
        <v>1.9240000000000002</v>
      </c>
      <c r="I48" s="3">
        <f>D48</f>
        <v>2.0499999999999998</v>
      </c>
      <c r="J48" s="5">
        <f>J47-E48</f>
        <v>2.75</v>
      </c>
      <c r="K48" s="17"/>
      <c r="L48" s="21">
        <f>L47-E48</f>
        <v>2.1740000000000022</v>
      </c>
      <c r="M48" s="7" t="s">
        <v>12</v>
      </c>
      <c r="Q48">
        <f>F48</f>
        <v>333.2</v>
      </c>
      <c r="R48" s="15">
        <f t="shared" si="6"/>
        <v>333.2</v>
      </c>
      <c r="U48" s="14" t="s">
        <v>22</v>
      </c>
      <c r="W48" s="11">
        <f>W47-E48</f>
        <v>3.673</v>
      </c>
      <c r="X48" s="9">
        <f>(R48*1.2*W$22)+(R48*(1-W$22))</f>
        <v>370.79049111999996</v>
      </c>
    </row>
    <row r="49" spans="1:25" x14ac:dyDescent="0.25">
      <c r="A49" s="16">
        <v>0.88</v>
      </c>
      <c r="B49" t="s">
        <v>8</v>
      </c>
      <c r="C49" s="1" t="s">
        <v>21</v>
      </c>
      <c r="D49" s="1">
        <v>3.08</v>
      </c>
      <c r="E49" s="1">
        <v>2.3759999999999999</v>
      </c>
      <c r="F49" s="1">
        <v>329.1</v>
      </c>
      <c r="H49" s="2">
        <f t="shared" si="7"/>
        <v>-0.45199999999999974</v>
      </c>
      <c r="I49" s="3">
        <f>I48-E49</f>
        <v>-0.32600000000000007</v>
      </c>
      <c r="J49" s="5">
        <f>J48-E49</f>
        <v>0.37400000000000011</v>
      </c>
      <c r="K49" s="1">
        <v>2.4500000000000002</v>
      </c>
      <c r="L49" s="21">
        <f>L48-E49</f>
        <v>-0.20199999999999774</v>
      </c>
      <c r="M49" s="7" t="s">
        <v>12</v>
      </c>
      <c r="Q49">
        <f>F49</f>
        <v>329.1</v>
      </c>
      <c r="R49" s="15">
        <f t="shared" si="6"/>
        <v>329.1</v>
      </c>
      <c r="U49" s="14" t="s">
        <v>22</v>
      </c>
      <c r="V49" s="15">
        <f>10.5-(E49-Y$22)</f>
        <v>8.5570000000000004</v>
      </c>
      <c r="W49" s="11">
        <f>W48-E49</f>
        <v>1.2970000000000002</v>
      </c>
      <c r="X49" s="9">
        <f>(R49*1.2*W$22)+(R49*(1-W$22))</f>
        <v>366.22794306000003</v>
      </c>
    </row>
    <row r="50" spans="1:25" x14ac:dyDescent="0.25">
      <c r="B50" s="10" t="s">
        <v>7</v>
      </c>
      <c r="C50" s="2" t="s">
        <v>15</v>
      </c>
      <c r="D50" s="2">
        <v>5.62</v>
      </c>
      <c r="E50" s="2">
        <v>1.1879999999999999</v>
      </c>
      <c r="F50" s="2">
        <f>(894.2*A47*A48*A49)+(775.1*(1-(A47*A48*A49)-((1-A48)*(1-A49))))+(655.9*(1-A48)*(1-A49))</f>
        <v>850.13000000000011</v>
      </c>
      <c r="G50" s="2"/>
      <c r="H50" s="2">
        <f>D50</f>
        <v>5.62</v>
      </c>
      <c r="I50" s="3"/>
      <c r="J50" s="5">
        <f>J49-E50</f>
        <v>-0.81399999999999983</v>
      </c>
      <c r="K50" s="1">
        <f>K49-E50</f>
        <v>1.2620000000000002</v>
      </c>
      <c r="L50" s="21"/>
      <c r="Q50">
        <f>F50</f>
        <v>850.13000000000011</v>
      </c>
      <c r="R50" s="15">
        <f t="shared" si="6"/>
        <v>850.13000000000011</v>
      </c>
      <c r="U50" s="14" t="s">
        <v>26</v>
      </c>
      <c r="V50" s="11">
        <f>V49-E50</f>
        <v>7.3690000000000007</v>
      </c>
      <c r="W50" s="11">
        <f>W49-E50</f>
        <v>0.10900000000000021</v>
      </c>
      <c r="X50" s="9">
        <f>(R50*1.2*(1-((1-W$22)*(1-W$22))))+(R50*1*((1-W$22)*(1-W$22)))</f>
        <v>987.84704213446696</v>
      </c>
    </row>
    <row r="51" spans="1:25" x14ac:dyDescent="0.25">
      <c r="C51" s="21" t="s">
        <v>6</v>
      </c>
      <c r="D51" s="21">
        <v>13.13</v>
      </c>
      <c r="E51" s="21">
        <v>1.32</v>
      </c>
      <c r="F51" s="21">
        <v>387.7</v>
      </c>
      <c r="H51" s="2">
        <f>H50-E51</f>
        <v>4.3</v>
      </c>
      <c r="I51" s="3"/>
      <c r="J51" s="5"/>
      <c r="K51" s="1">
        <f>K50-E51</f>
        <v>-5.7999999999999829E-2</v>
      </c>
      <c r="L51" s="21">
        <f>D51</f>
        <v>13.13</v>
      </c>
      <c r="M51" s="7" t="s">
        <v>12</v>
      </c>
      <c r="P51">
        <f>523.3*Q$8</f>
        <v>470.96999999999997</v>
      </c>
      <c r="Q51">
        <f>(1-Q$8)*F51</f>
        <v>38.769999999999989</v>
      </c>
      <c r="R51" s="15">
        <f t="shared" si="6"/>
        <v>509.73999999999995</v>
      </c>
      <c r="U51" s="14" t="s">
        <v>22</v>
      </c>
      <c r="V51" s="11">
        <f>V50-E51</f>
        <v>6.0490000000000004</v>
      </c>
      <c r="W51" s="11"/>
      <c r="X51" s="9">
        <f>(R51*1.2*W$22)+(R51*(1-W$22))</f>
        <v>567.24713368399989</v>
      </c>
    </row>
    <row r="52" spans="1:25" x14ac:dyDescent="0.25">
      <c r="A52" s="16">
        <v>1</v>
      </c>
      <c r="B52" t="s">
        <v>8</v>
      </c>
      <c r="C52" s="5" t="s">
        <v>17</v>
      </c>
      <c r="D52" s="5">
        <v>4.07</v>
      </c>
      <c r="E52" s="5">
        <v>2.3759999999999999</v>
      </c>
      <c r="F52" s="5">
        <v>268.2</v>
      </c>
      <c r="H52" s="2">
        <f>H51-E52</f>
        <v>1.9239999999999999</v>
      </c>
      <c r="I52" s="3"/>
      <c r="J52" s="5">
        <f>D52</f>
        <v>4.07</v>
      </c>
      <c r="K52" s="1"/>
      <c r="L52" s="21">
        <f>L51-E52</f>
        <v>10.754000000000001</v>
      </c>
      <c r="Q52">
        <f>F52</f>
        <v>268.2</v>
      </c>
      <c r="R52" s="15">
        <f t="shared" si="6"/>
        <v>268.2</v>
      </c>
      <c r="U52" s="14" t="s">
        <v>22</v>
      </c>
      <c r="V52" s="11">
        <f>V51-E52</f>
        <v>3.6730000000000005</v>
      </c>
      <c r="X52" s="9">
        <f>(R52*1.2*W$22)+(R52*(1-W$22))</f>
        <v>298.45741211999996</v>
      </c>
    </row>
    <row r="53" spans="1:25" x14ac:dyDescent="0.25">
      <c r="A53" s="16">
        <v>0.75</v>
      </c>
      <c r="B53" t="s">
        <v>8</v>
      </c>
      <c r="C53" s="3" t="s">
        <v>20</v>
      </c>
      <c r="D53" s="3">
        <v>2.0499999999999998</v>
      </c>
      <c r="E53" s="3">
        <v>1.32</v>
      </c>
      <c r="F53" s="3">
        <v>333.2</v>
      </c>
      <c r="G53" s="1"/>
      <c r="H53" s="2">
        <f>H52-E53</f>
        <v>0.60399999999999987</v>
      </c>
      <c r="I53" s="3">
        <f>D53</f>
        <v>2.0499999999999998</v>
      </c>
      <c r="J53" s="5">
        <f>J52-E53</f>
        <v>2.75</v>
      </c>
      <c r="K53" s="17"/>
      <c r="L53" s="21">
        <f>L52-E53</f>
        <v>9.4340000000000011</v>
      </c>
      <c r="M53" s="7" t="s">
        <v>12</v>
      </c>
      <c r="Q53">
        <f>F53</f>
        <v>333.2</v>
      </c>
      <c r="R53" s="15">
        <f t="shared" si="6"/>
        <v>333.2</v>
      </c>
      <c r="U53" s="14" t="s">
        <v>22</v>
      </c>
      <c r="V53" s="11">
        <f>V52-E53</f>
        <v>2.3530000000000006</v>
      </c>
      <c r="X53" s="9">
        <f>(R53*1.2*W$22)+(R53*(1-W$22))</f>
        <v>370.79049111999996</v>
      </c>
    </row>
    <row r="54" spans="1:25" x14ac:dyDescent="0.25">
      <c r="A54" s="16">
        <v>0.88</v>
      </c>
      <c r="B54" t="s">
        <v>8</v>
      </c>
      <c r="C54" s="1" t="s">
        <v>21</v>
      </c>
      <c r="D54" s="1">
        <v>3.08</v>
      </c>
      <c r="E54" s="1">
        <v>2.3759999999999999</v>
      </c>
      <c r="F54" s="1">
        <v>329.1</v>
      </c>
      <c r="H54" s="2">
        <f>H53-E54</f>
        <v>-1.772</v>
      </c>
      <c r="I54" s="3">
        <f>I53-E54</f>
        <v>-0.32600000000000007</v>
      </c>
      <c r="J54" s="5">
        <f>J53-E54</f>
        <v>0.37400000000000011</v>
      </c>
      <c r="K54" s="1">
        <v>2.4500000000000002</v>
      </c>
      <c r="L54" s="21">
        <f>L53-E54</f>
        <v>7.0580000000000016</v>
      </c>
      <c r="M54" s="7" t="s">
        <v>12</v>
      </c>
      <c r="Q54">
        <f>F54</f>
        <v>329.1</v>
      </c>
      <c r="R54" s="15">
        <f t="shared" si="6"/>
        <v>329.1</v>
      </c>
      <c r="U54" s="14" t="s">
        <v>22</v>
      </c>
      <c r="V54" s="11">
        <f>V53-E54</f>
        <v>-2.2999999999999243E-2</v>
      </c>
      <c r="W54" s="15">
        <f>10.5-(E54-Y$22)</f>
        <v>8.5570000000000004</v>
      </c>
      <c r="X54" s="9">
        <f>(R54*1.2*W$22)+(R54*(1-W$22))</f>
        <v>366.22794306000003</v>
      </c>
    </row>
    <row r="55" spans="1:25" x14ac:dyDescent="0.25">
      <c r="E55" s="9">
        <f>SUM(E46:E54)</f>
        <v>15.84</v>
      </c>
      <c r="F55" s="9">
        <f>SUM(F46:F54)</f>
        <v>3948.9599999999996</v>
      </c>
      <c r="G55" s="7">
        <f>F55/E55</f>
        <v>249.30303030303028</v>
      </c>
      <c r="H55" s="7" t="s">
        <v>3</v>
      </c>
      <c r="L55" s="1"/>
      <c r="R55" s="9">
        <f>SUM(R46:R54)</f>
        <v>4142.28</v>
      </c>
      <c r="S55" s="7" t="s">
        <v>14</v>
      </c>
      <c r="X55" s="9">
        <f>SUM(X46:X54)</f>
        <v>4651.4062118244665</v>
      </c>
      <c r="Y55" s="7" t="s">
        <v>14</v>
      </c>
    </row>
    <row r="56" spans="1:25" x14ac:dyDescent="0.25">
      <c r="R56" s="7">
        <f>R55/E55</f>
        <v>261.50757575757575</v>
      </c>
      <c r="S56" s="7" t="s">
        <v>11</v>
      </c>
      <c r="X56" s="7">
        <f>X55/E55</f>
        <v>293.6493820596254</v>
      </c>
      <c r="Y56" s="7" t="s">
        <v>11</v>
      </c>
    </row>
  </sheetData>
  <sortState ref="C2:J9">
    <sortCondition descending="1" ref="G2:G9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4"/>
  <sheetViews>
    <sheetView tabSelected="1" zoomScale="85" zoomScaleNormal="85" workbookViewId="0">
      <selection activeCell="K8" sqref="K8"/>
    </sheetView>
  </sheetViews>
  <sheetFormatPr defaultRowHeight="15" x14ac:dyDescent="0.25"/>
  <cols>
    <col min="3" max="3" width="16.28515625" bestFit="1" customWidth="1"/>
  </cols>
  <sheetData>
    <row r="1" spans="1:26" x14ac:dyDescent="0.25">
      <c r="D1" t="s">
        <v>0</v>
      </c>
      <c r="E1" t="s">
        <v>1</v>
      </c>
      <c r="F1" t="s">
        <v>2</v>
      </c>
      <c r="G1" t="s">
        <v>4</v>
      </c>
    </row>
    <row r="2" spans="1:26" x14ac:dyDescent="0.25">
      <c r="C2" s="2" t="s">
        <v>15</v>
      </c>
      <c r="D2" s="2">
        <v>5.78</v>
      </c>
      <c r="E2" s="2">
        <v>1.1879999999999999</v>
      </c>
      <c r="F2" s="2">
        <v>530.6</v>
      </c>
      <c r="G2" s="2">
        <f t="shared" ref="G2" si="0">F2/E2</f>
        <v>446.63299663299665</v>
      </c>
      <c r="H2" s="8">
        <v>1</v>
      </c>
      <c r="J2" s="12"/>
      <c r="L2" s="7" t="s">
        <v>27</v>
      </c>
      <c r="N2" s="9"/>
    </row>
    <row r="3" spans="1:26" x14ac:dyDescent="0.25">
      <c r="C3" t="s">
        <v>19</v>
      </c>
      <c r="D3">
        <v>12.89</v>
      </c>
      <c r="E3">
        <v>1.32</v>
      </c>
      <c r="F3">
        <v>343.4</v>
      </c>
      <c r="G3">
        <f t="shared" ref="G3:G8" si="1">F3/E3</f>
        <v>260.15151515151513</v>
      </c>
      <c r="H3" s="8">
        <v>2</v>
      </c>
      <c r="I3" t="s">
        <v>12</v>
      </c>
      <c r="L3" s="14" t="s">
        <v>28</v>
      </c>
      <c r="M3">
        <f>4.4456*2*(1+1.2865)*30</f>
        <v>609.89186400000006</v>
      </c>
      <c r="N3" s="9"/>
    </row>
    <row r="4" spans="1:26" x14ac:dyDescent="0.25">
      <c r="C4" s="3" t="s">
        <v>20</v>
      </c>
      <c r="D4" s="3">
        <v>2.12</v>
      </c>
      <c r="E4" s="3">
        <v>1.32</v>
      </c>
      <c r="F4" s="3">
        <v>329.5</v>
      </c>
      <c r="G4" s="3">
        <f t="shared" si="1"/>
        <v>249.6212121212121</v>
      </c>
      <c r="H4" s="8">
        <v>3</v>
      </c>
      <c r="L4" s="14" t="s">
        <v>29</v>
      </c>
      <c r="M4" s="22">
        <f>(27.45%*71.7501)*3</f>
        <v>59.086207349999995</v>
      </c>
      <c r="N4" s="9"/>
    </row>
    <row r="5" spans="1:26" x14ac:dyDescent="0.25">
      <c r="C5" s="4" t="s">
        <v>18</v>
      </c>
      <c r="D5" s="4">
        <v>4.7300000000000004</v>
      </c>
      <c r="E5" s="4">
        <v>2.2440000000000002</v>
      </c>
      <c r="F5" s="4">
        <v>483.1</v>
      </c>
      <c r="G5" s="4">
        <f t="shared" si="1"/>
        <v>215.28520499108734</v>
      </c>
      <c r="H5" s="8">
        <v>4</v>
      </c>
    </row>
    <row r="6" spans="1:26" x14ac:dyDescent="0.25">
      <c r="C6" s="1" t="s">
        <v>21</v>
      </c>
      <c r="D6" s="1">
        <v>3.17</v>
      </c>
      <c r="E6" s="1">
        <v>2.3759999999999999</v>
      </c>
      <c r="F6" s="1">
        <v>326.3</v>
      </c>
      <c r="G6" s="1">
        <f t="shared" si="1"/>
        <v>137.33164983164986</v>
      </c>
      <c r="H6" s="8">
        <v>5</v>
      </c>
      <c r="I6" t="s">
        <v>12</v>
      </c>
      <c r="J6" t="s">
        <v>22</v>
      </c>
    </row>
    <row r="7" spans="1:26" x14ac:dyDescent="0.25">
      <c r="C7" s="5" t="s">
        <v>17</v>
      </c>
      <c r="D7" s="5">
        <v>4.17</v>
      </c>
      <c r="E7" s="5">
        <v>2.3759999999999999</v>
      </c>
      <c r="F7" s="5">
        <v>237.3</v>
      </c>
      <c r="G7" s="5">
        <f t="shared" si="1"/>
        <v>99.873737373737384</v>
      </c>
      <c r="H7" s="5">
        <v>6</v>
      </c>
      <c r="I7" t="s">
        <v>12</v>
      </c>
      <c r="P7" s="7" t="s">
        <v>13</v>
      </c>
      <c r="W7" s="7" t="s">
        <v>23</v>
      </c>
    </row>
    <row r="8" spans="1:26" x14ac:dyDescent="0.25">
      <c r="C8" s="6" t="s">
        <v>27</v>
      </c>
      <c r="D8" s="6">
        <v>56.64</v>
      </c>
      <c r="E8" s="6">
        <v>1.32</v>
      </c>
      <c r="F8" s="6">
        <f>M3+(2*M4)</f>
        <v>728.06427870000005</v>
      </c>
      <c r="G8" s="6">
        <f t="shared" si="1"/>
        <v>551.56384749999995</v>
      </c>
      <c r="H8" s="8">
        <v>7</v>
      </c>
      <c r="I8" t="s">
        <v>12</v>
      </c>
      <c r="P8" s="9"/>
      <c r="Q8" s="13">
        <v>0.9</v>
      </c>
      <c r="R8" s="9" t="s">
        <v>10</v>
      </c>
      <c r="W8" s="13">
        <v>0.564083</v>
      </c>
      <c r="X8" s="9" t="s">
        <v>10</v>
      </c>
      <c r="Y8" s="9">
        <v>0.433</v>
      </c>
      <c r="Z8" s="9" t="s">
        <v>9</v>
      </c>
    </row>
    <row r="9" spans="1:26" x14ac:dyDescent="0.25">
      <c r="E9" s="9"/>
      <c r="F9" s="9"/>
      <c r="G9" s="7"/>
      <c r="H9" s="7"/>
      <c r="R9" s="9"/>
      <c r="S9" s="7"/>
    </row>
    <row r="10" spans="1:26" x14ac:dyDescent="0.25">
      <c r="M10" s="19" t="s">
        <v>24</v>
      </c>
    </row>
    <row r="11" spans="1:26" x14ac:dyDescent="0.25">
      <c r="B11" s="10" t="s">
        <v>7</v>
      </c>
      <c r="C11" s="2" t="s">
        <v>15</v>
      </c>
      <c r="D11" s="2">
        <v>5.78</v>
      </c>
      <c r="E11" s="2">
        <v>1.1879999999999999</v>
      </c>
      <c r="F11" s="2">
        <f>(882*A16*A17*A18)+(764.8*(1-(A16*A17*A18)-((1-A17)*(1-A18))))+(647.7*(1-A17)*(1-A18))</f>
        <v>838.63900000000001</v>
      </c>
      <c r="G11" s="2"/>
      <c r="H11" s="2">
        <f>D11</f>
        <v>5.78</v>
      </c>
      <c r="I11" s="4">
        <f>I18-E11</f>
        <v>-0.15399999999999969</v>
      </c>
      <c r="J11" s="3"/>
      <c r="K11" s="1">
        <f>K18-E11</f>
        <v>1.2620000000000002</v>
      </c>
      <c r="M11">
        <v>4</v>
      </c>
      <c r="N11">
        <f>E11-0.2+0.767</f>
        <v>1.7549999999999999</v>
      </c>
      <c r="O11" s="18">
        <f>(4%*M11)*N11/N$19</f>
        <v>1.9696969696969695E-2</v>
      </c>
      <c r="Q11">
        <f>F11</f>
        <v>838.63900000000001</v>
      </c>
      <c r="R11" s="15">
        <f t="shared" ref="R11:R18" si="2">(P11+Q11)</f>
        <v>838.63900000000001</v>
      </c>
      <c r="U11" s="14" t="s">
        <v>26</v>
      </c>
      <c r="V11" s="11">
        <f>V18-E11</f>
        <v>0.24099999999999988</v>
      </c>
      <c r="W11" s="11">
        <f>W18-E11</f>
        <v>7.3690000000000007</v>
      </c>
      <c r="X11" s="9">
        <f>(R11*1.2*(1-((1-W$8)*(1-W$8))))+(R11*1*((1-W$8)*(1-W$8)))</f>
        <v>974.4945544429761</v>
      </c>
    </row>
    <row r="12" spans="1:26" x14ac:dyDescent="0.25">
      <c r="A12" s="16">
        <v>1</v>
      </c>
      <c r="B12" t="s">
        <v>8</v>
      </c>
      <c r="C12" s="4" t="s">
        <v>18</v>
      </c>
      <c r="D12" s="4">
        <v>4.7300000000000004</v>
      </c>
      <c r="E12" s="4">
        <v>2.2440000000000002</v>
      </c>
      <c r="F12" s="4">
        <v>517.29999999999995</v>
      </c>
      <c r="H12" s="2">
        <f>H11-E12</f>
        <v>3.536</v>
      </c>
      <c r="I12" s="4">
        <f>D12</f>
        <v>4.7300000000000004</v>
      </c>
      <c r="J12" s="3"/>
      <c r="K12" s="1">
        <f>J11-E12</f>
        <v>-2.2440000000000002</v>
      </c>
      <c r="M12">
        <v>0</v>
      </c>
      <c r="N12">
        <f>E12-0.767+0.567</f>
        <v>2.0440000000000005</v>
      </c>
      <c r="O12" s="18">
        <f t="shared" ref="O12:O18" si="3">(4%*M12)*N12/N$19</f>
        <v>0</v>
      </c>
      <c r="P12">
        <f>835.2*Q$8</f>
        <v>751.68000000000006</v>
      </c>
      <c r="Q12">
        <f>(1-Q$8)*F12</f>
        <v>51.729999999999983</v>
      </c>
      <c r="R12" s="15">
        <f t="shared" si="2"/>
        <v>803.41000000000008</v>
      </c>
      <c r="U12" s="14" t="s">
        <v>22</v>
      </c>
      <c r="W12" s="11">
        <f>W11-E12</f>
        <v>5.125</v>
      </c>
      <c r="X12" s="9">
        <f>(R12*1.2*W$8)+(R12*(1-W$8))</f>
        <v>894.04798460600011</v>
      </c>
    </row>
    <row r="13" spans="1:26" x14ac:dyDescent="0.25">
      <c r="A13" s="16">
        <v>0.75</v>
      </c>
      <c r="B13" t="s">
        <v>8</v>
      </c>
      <c r="C13" s="3" t="s">
        <v>20</v>
      </c>
      <c r="D13" s="3">
        <v>2.12</v>
      </c>
      <c r="E13" s="3">
        <v>1.32</v>
      </c>
      <c r="F13" s="3">
        <v>329.5</v>
      </c>
      <c r="G13" s="1"/>
      <c r="H13" s="2">
        <f>H12-E13</f>
        <v>2.2160000000000002</v>
      </c>
      <c r="I13" s="4">
        <f>I12-E13</f>
        <v>3.41</v>
      </c>
      <c r="J13" s="3">
        <f>D13</f>
        <v>2.12</v>
      </c>
      <c r="M13">
        <v>1</v>
      </c>
      <c r="N13">
        <f>E13-0.567+0.433</f>
        <v>1.1860000000000002</v>
      </c>
      <c r="O13" s="18">
        <f t="shared" si="3"/>
        <v>3.3277216610549951E-3</v>
      </c>
      <c r="Q13">
        <f>F13</f>
        <v>329.5</v>
      </c>
      <c r="R13" s="15">
        <f t="shared" si="2"/>
        <v>329.5</v>
      </c>
      <c r="U13" s="14" t="s">
        <v>22</v>
      </c>
      <c r="W13" s="11">
        <f>W12-E13</f>
        <v>3.8049999999999997</v>
      </c>
      <c r="X13" s="9">
        <f>(R13*1.2*W$8)+(R13*(1-W$8))</f>
        <v>366.67306969999999</v>
      </c>
    </row>
    <row r="14" spans="1:26" x14ac:dyDescent="0.25">
      <c r="A14" s="16">
        <v>0.88</v>
      </c>
      <c r="B14" t="s">
        <v>8</v>
      </c>
      <c r="C14" s="1" t="s">
        <v>21</v>
      </c>
      <c r="D14" s="1">
        <v>3.17</v>
      </c>
      <c r="E14" s="1">
        <v>2.3759999999999999</v>
      </c>
      <c r="F14" s="1">
        <v>326.3</v>
      </c>
      <c r="H14" s="2">
        <f>H13-E14</f>
        <v>-0.1599999999999997</v>
      </c>
      <c r="I14" s="4">
        <f>I13-E14</f>
        <v>1.0340000000000003</v>
      </c>
      <c r="J14" s="3">
        <f>J13-E14</f>
        <v>-0.25599999999999978</v>
      </c>
      <c r="K14" s="1">
        <v>2.4500000000000002</v>
      </c>
      <c r="L14" s="7" t="s">
        <v>12</v>
      </c>
      <c r="M14">
        <v>2</v>
      </c>
      <c r="N14">
        <f>E14-0.433+0.2</f>
        <v>2.1429999999999998</v>
      </c>
      <c r="O14" s="18">
        <f t="shared" si="3"/>
        <v>1.2025813692480358E-2</v>
      </c>
      <c r="Q14">
        <f>F14</f>
        <v>326.3</v>
      </c>
      <c r="R14" s="15">
        <f t="shared" si="2"/>
        <v>326.3</v>
      </c>
      <c r="U14" s="14" t="s">
        <v>22</v>
      </c>
      <c r="V14" s="15">
        <f>10.5-(E14-Y$8)</f>
        <v>8.5570000000000004</v>
      </c>
      <c r="W14" s="11">
        <f>W13-E14</f>
        <v>1.4289999999999998</v>
      </c>
      <c r="X14" s="9">
        <f>(R14*1.2*W$8)+(R14*(1-W$8))</f>
        <v>363.11205658</v>
      </c>
    </row>
    <row r="15" spans="1:26" x14ac:dyDescent="0.25">
      <c r="B15" s="10" t="s">
        <v>7</v>
      </c>
      <c r="C15" s="2" t="s">
        <v>15</v>
      </c>
      <c r="D15" s="2">
        <v>5.78</v>
      </c>
      <c r="E15" s="2">
        <v>1.1879999999999999</v>
      </c>
      <c r="F15" s="2">
        <f>(882*A12*A13*A14)+(764.8*(1-(A12*A13*A14)-((1-A13)*(1-A14))))+(647.7*(1-A13)*(1-A14))</f>
        <v>838.63900000000001</v>
      </c>
      <c r="G15" s="2"/>
      <c r="H15" s="2">
        <f>D15</f>
        <v>5.78</v>
      </c>
      <c r="I15" s="4">
        <f>I14-E15</f>
        <v>-0.15399999999999969</v>
      </c>
      <c r="J15" s="3"/>
      <c r="K15" s="1">
        <f>K14-E15</f>
        <v>1.2620000000000002</v>
      </c>
      <c r="M15">
        <v>4</v>
      </c>
      <c r="N15">
        <f>E15-0.2+0.767</f>
        <v>1.7549999999999999</v>
      </c>
      <c r="O15" s="18">
        <f t="shared" si="3"/>
        <v>1.9696969696969695E-2</v>
      </c>
      <c r="Q15">
        <f>F15</f>
        <v>838.63900000000001</v>
      </c>
      <c r="R15" s="15">
        <f t="shared" si="2"/>
        <v>838.63900000000001</v>
      </c>
      <c r="U15" s="14" t="s">
        <v>26</v>
      </c>
      <c r="V15" s="11">
        <f>V14-E15</f>
        <v>7.3690000000000007</v>
      </c>
      <c r="W15" s="11">
        <f>W14-E15</f>
        <v>0.24099999999999988</v>
      </c>
      <c r="X15" s="9">
        <f>(R15*1.2*(1-((1-W$8)*(1-W$8))))+(R15*1*((1-W$8)*(1-W$8)))</f>
        <v>974.4945544429761</v>
      </c>
    </row>
    <row r="16" spans="1:26" x14ac:dyDescent="0.25">
      <c r="A16" s="16">
        <v>1</v>
      </c>
      <c r="B16" t="s">
        <v>8</v>
      </c>
      <c r="C16" s="4" t="s">
        <v>18</v>
      </c>
      <c r="D16" s="4">
        <v>4.7300000000000004</v>
      </c>
      <c r="E16" s="4">
        <v>2.2440000000000002</v>
      </c>
      <c r="F16" s="4">
        <v>517.29999999999995</v>
      </c>
      <c r="H16" s="2">
        <f>H15-E16</f>
        <v>3.536</v>
      </c>
      <c r="I16" s="4">
        <f>D16</f>
        <v>4.7300000000000004</v>
      </c>
      <c r="J16" s="3"/>
      <c r="K16" s="1">
        <f>J15-E16</f>
        <v>-2.2440000000000002</v>
      </c>
      <c r="M16">
        <v>0</v>
      </c>
      <c r="N16">
        <f>E16-0.767+0.567</f>
        <v>2.0440000000000005</v>
      </c>
      <c r="O16" s="18">
        <f t="shared" si="3"/>
        <v>0</v>
      </c>
      <c r="P16">
        <f>835.2*Q$8</f>
        <v>751.68000000000006</v>
      </c>
      <c r="Q16">
        <f>(1-Q$8)*F16</f>
        <v>51.729999999999983</v>
      </c>
      <c r="R16" s="15">
        <f t="shared" si="2"/>
        <v>803.41000000000008</v>
      </c>
      <c r="U16" s="14" t="s">
        <v>22</v>
      </c>
      <c r="V16" s="11">
        <f>V15-E16</f>
        <v>5.125</v>
      </c>
      <c r="X16" s="9">
        <f>(R16*1.2*W$8)+(R16*(1-W$8))</f>
        <v>894.04798460600011</v>
      </c>
    </row>
    <row r="17" spans="1:27" x14ac:dyDescent="0.25">
      <c r="A17" s="16">
        <v>0.75</v>
      </c>
      <c r="B17" t="s">
        <v>8</v>
      </c>
      <c r="C17" s="3" t="s">
        <v>20</v>
      </c>
      <c r="D17" s="3">
        <v>2.12</v>
      </c>
      <c r="E17" s="3">
        <v>1.32</v>
      </c>
      <c r="F17" s="3">
        <v>329.5</v>
      </c>
      <c r="G17" s="1"/>
      <c r="H17" s="2">
        <f>H16-E17</f>
        <v>2.2160000000000002</v>
      </c>
      <c r="I17" s="4">
        <f>I16-E17</f>
        <v>3.41</v>
      </c>
      <c r="J17" s="3">
        <f>D17</f>
        <v>2.12</v>
      </c>
      <c r="M17">
        <v>1</v>
      </c>
      <c r="N17">
        <f>E17-0.567+0.433</f>
        <v>1.1860000000000002</v>
      </c>
      <c r="O17" s="18">
        <f t="shared" si="3"/>
        <v>3.3277216610549951E-3</v>
      </c>
      <c r="Q17">
        <f>F17</f>
        <v>329.5</v>
      </c>
      <c r="R17" s="15">
        <f t="shared" si="2"/>
        <v>329.5</v>
      </c>
      <c r="U17" s="14" t="s">
        <v>22</v>
      </c>
      <c r="V17" s="11">
        <f>V16-E17</f>
        <v>3.8049999999999997</v>
      </c>
      <c r="X17" s="9">
        <f>(R17*1.2*W$8)+(R17*(1-W$8))</f>
        <v>366.67306969999999</v>
      </c>
    </row>
    <row r="18" spans="1:27" x14ac:dyDescent="0.25">
      <c r="A18" s="16">
        <v>0.88</v>
      </c>
      <c r="B18" t="s">
        <v>8</v>
      </c>
      <c r="C18" s="1" t="s">
        <v>21</v>
      </c>
      <c r="D18" s="1">
        <v>3.17</v>
      </c>
      <c r="E18" s="1">
        <v>2.3759999999999999</v>
      </c>
      <c r="F18" s="1">
        <v>326.3</v>
      </c>
      <c r="H18" s="2">
        <f>H17-E18</f>
        <v>-0.1599999999999997</v>
      </c>
      <c r="I18" s="4">
        <f>I17-E18</f>
        <v>1.0340000000000003</v>
      </c>
      <c r="J18" s="3">
        <f>J17-E18</f>
        <v>-0.25599999999999978</v>
      </c>
      <c r="K18" s="1">
        <v>2.4500000000000002</v>
      </c>
      <c r="L18" s="7" t="s">
        <v>12</v>
      </c>
      <c r="M18">
        <v>2</v>
      </c>
      <c r="N18">
        <f>E18-0.433+0.2</f>
        <v>2.1429999999999998</v>
      </c>
      <c r="O18" s="18">
        <f t="shared" si="3"/>
        <v>1.2025813692480358E-2</v>
      </c>
      <c r="Q18">
        <f>F18</f>
        <v>326.3</v>
      </c>
      <c r="R18" s="15">
        <f t="shared" si="2"/>
        <v>326.3</v>
      </c>
      <c r="U18" s="14" t="s">
        <v>22</v>
      </c>
      <c r="V18" s="11">
        <f>V17-E18</f>
        <v>1.4289999999999998</v>
      </c>
      <c r="W18" s="15">
        <f>10.5-(E18-Y$8)</f>
        <v>8.5570000000000004</v>
      </c>
      <c r="X18" s="9">
        <f>(R18*1.2*W$8)+(R18*(1-W$8))</f>
        <v>363.11205658</v>
      </c>
    </row>
    <row r="19" spans="1:27" x14ac:dyDescent="0.25">
      <c r="E19" s="9">
        <f>SUM(E11:E18)</f>
        <v>14.256</v>
      </c>
      <c r="F19" s="9">
        <f>SUM(F11:F18)</f>
        <v>4023.4780000000001</v>
      </c>
      <c r="G19" s="7">
        <f>F19/E19</f>
        <v>282.23049943883279</v>
      </c>
      <c r="H19" s="7" t="s">
        <v>3</v>
      </c>
      <c r="N19" s="9">
        <f>SUM(N11:N18)</f>
        <v>14.256</v>
      </c>
      <c r="O19" s="20">
        <f>SUM(O11:O18)</f>
        <v>7.0101010101010094E-2</v>
      </c>
      <c r="P19" s="7" t="s">
        <v>25</v>
      </c>
      <c r="R19" s="9">
        <f>SUM(R11:R18)</f>
        <v>4595.6980000000003</v>
      </c>
      <c r="S19" s="7" t="s">
        <v>14</v>
      </c>
      <c r="V19" s="11"/>
      <c r="X19" s="9">
        <f>SUM(X11:X18)</f>
        <v>5196.6553306579526</v>
      </c>
      <c r="Y19" s="7" t="s">
        <v>14</v>
      </c>
    </row>
    <row r="20" spans="1:27" x14ac:dyDescent="0.25">
      <c r="R20" s="7">
        <f>R19/E19</f>
        <v>322.36938832772165</v>
      </c>
      <c r="S20" s="7" t="s">
        <v>11</v>
      </c>
      <c r="X20" s="7">
        <f>X19/E19</f>
        <v>364.52408323919423</v>
      </c>
      <c r="Y20" s="7" t="s">
        <v>11</v>
      </c>
      <c r="Z20" s="9" t="str">
        <f>CONCATENATE("(",ROUND(X20+X$34,4))</f>
        <v>(378.5027</v>
      </c>
      <c r="AA20" s="9" t="s">
        <v>31</v>
      </c>
    </row>
    <row r="22" spans="1:27" x14ac:dyDescent="0.25">
      <c r="B22" s="10" t="s">
        <v>7</v>
      </c>
      <c r="C22" s="2" t="s">
        <v>15</v>
      </c>
      <c r="D22" s="2">
        <v>5.78</v>
      </c>
      <c r="E22" s="2">
        <v>1.1879999999999999</v>
      </c>
      <c r="F22" s="2">
        <f>(882*A27*A28*A29)+(764.8*(1-(A27*A28*A29)-((1-A28)*(1-A29))))+(647.7*(1-A28)*(1-A29))</f>
        <v>838.63900000000001</v>
      </c>
      <c r="G22" s="2"/>
      <c r="H22" s="2">
        <f>D22</f>
        <v>5.78</v>
      </c>
      <c r="I22" s="3"/>
      <c r="J22" s="5">
        <f>J29-E22</f>
        <v>-0.71400000000000019</v>
      </c>
      <c r="K22" s="1">
        <f>K29-E22</f>
        <v>1.2620000000000002</v>
      </c>
      <c r="Q22">
        <f>F22</f>
        <v>838.63900000000001</v>
      </c>
      <c r="R22" s="15">
        <f t="shared" ref="R22:R29" si="4">(P22+Q22)</f>
        <v>838.63900000000001</v>
      </c>
      <c r="U22" s="14" t="s">
        <v>26</v>
      </c>
      <c r="V22" s="11">
        <f>V29-E22</f>
        <v>0.10900000000000021</v>
      </c>
      <c r="W22" s="11">
        <f>W29-E22</f>
        <v>7.3690000000000007</v>
      </c>
      <c r="X22" s="9">
        <f>(R22*1.2*(1-((1-W$8)*(1-W$8))))+(R22*1*((1-W$8)*(1-W$8)))</f>
        <v>974.4945544429761</v>
      </c>
    </row>
    <row r="23" spans="1:27" x14ac:dyDescent="0.25">
      <c r="A23" s="16">
        <v>1</v>
      </c>
      <c r="B23" t="s">
        <v>8</v>
      </c>
      <c r="C23" s="5" t="s">
        <v>17</v>
      </c>
      <c r="D23" s="5">
        <v>4.17</v>
      </c>
      <c r="E23" s="5">
        <v>2.3759999999999999</v>
      </c>
      <c r="F23" s="5">
        <v>264</v>
      </c>
      <c r="H23" s="2">
        <f>H22-E23</f>
        <v>3.4040000000000004</v>
      </c>
      <c r="I23" s="3"/>
      <c r="J23" s="5">
        <f>D23</f>
        <v>4.17</v>
      </c>
      <c r="K23" s="1">
        <f>K22-E23</f>
        <v>-1.1139999999999997</v>
      </c>
      <c r="P23">
        <f>341.9*Q$8</f>
        <v>307.70999999999998</v>
      </c>
      <c r="Q23">
        <f>(1-Q$8)*F23</f>
        <v>26.399999999999995</v>
      </c>
      <c r="R23" s="15">
        <f t="shared" si="4"/>
        <v>334.10999999999996</v>
      </c>
      <c r="U23" s="14" t="s">
        <v>22</v>
      </c>
      <c r="V23" s="11"/>
      <c r="W23" s="11">
        <f>W22-E23</f>
        <v>4.9930000000000003</v>
      </c>
      <c r="X23" s="9">
        <f>(R23*1.2*W$8)+(R23*(1-W$8))</f>
        <v>371.80315422599995</v>
      </c>
    </row>
    <row r="24" spans="1:27" x14ac:dyDescent="0.25">
      <c r="A24" s="16">
        <v>0.75</v>
      </c>
      <c r="B24" t="s">
        <v>8</v>
      </c>
      <c r="C24" s="3" t="s">
        <v>20</v>
      </c>
      <c r="D24" s="3">
        <v>2.12</v>
      </c>
      <c r="E24" s="3">
        <v>1.32</v>
      </c>
      <c r="F24" s="3">
        <v>329.5</v>
      </c>
      <c r="G24" s="1"/>
      <c r="H24" s="2">
        <f>H23-E24</f>
        <v>2.0840000000000005</v>
      </c>
      <c r="I24" s="3">
        <f>D24</f>
        <v>2.12</v>
      </c>
      <c r="J24" s="5">
        <f>J23-E24</f>
        <v>2.8499999999999996</v>
      </c>
      <c r="K24" s="17"/>
      <c r="L24" s="7" t="s">
        <v>12</v>
      </c>
      <c r="Q24">
        <f>F24</f>
        <v>329.5</v>
      </c>
      <c r="R24" s="15">
        <f t="shared" si="4"/>
        <v>329.5</v>
      </c>
      <c r="U24" s="14" t="s">
        <v>22</v>
      </c>
      <c r="W24" s="11">
        <f>W23-E24</f>
        <v>3.673</v>
      </c>
      <c r="X24" s="9">
        <f>(R24*1.2*W$8)+(R24*(1-W$8))</f>
        <v>366.67306969999999</v>
      </c>
    </row>
    <row r="25" spans="1:27" x14ac:dyDescent="0.25">
      <c r="A25" s="16">
        <v>0.88</v>
      </c>
      <c r="B25" t="s">
        <v>8</v>
      </c>
      <c r="C25" s="1" t="s">
        <v>21</v>
      </c>
      <c r="D25" s="1">
        <v>3.17</v>
      </c>
      <c r="E25" s="1">
        <v>2.3759999999999999</v>
      </c>
      <c r="F25" s="1">
        <v>326.3</v>
      </c>
      <c r="H25" s="2">
        <f>H24-E25</f>
        <v>-0.29199999999999937</v>
      </c>
      <c r="I25" s="3">
        <f>I24-E25</f>
        <v>-0.25599999999999978</v>
      </c>
      <c r="J25" s="5">
        <f>J24-E25</f>
        <v>0.47399999999999975</v>
      </c>
      <c r="K25" s="1">
        <v>2.4500000000000002</v>
      </c>
      <c r="L25" s="7" t="s">
        <v>12</v>
      </c>
      <c r="Q25">
        <f>F25</f>
        <v>326.3</v>
      </c>
      <c r="R25" s="15">
        <f t="shared" si="4"/>
        <v>326.3</v>
      </c>
      <c r="U25" s="14" t="s">
        <v>22</v>
      </c>
      <c r="V25" s="15">
        <f>10.5-(E25-Y$8)</f>
        <v>8.5570000000000004</v>
      </c>
      <c r="W25" s="11">
        <f>W24-E25</f>
        <v>1.2970000000000002</v>
      </c>
      <c r="X25" s="9">
        <f>(R25*1.2*W$8)+(R25*(1-W$8))</f>
        <v>363.11205658</v>
      </c>
    </row>
    <row r="26" spans="1:27" x14ac:dyDescent="0.25">
      <c r="B26" s="10" t="s">
        <v>7</v>
      </c>
      <c r="C26" s="2" t="s">
        <v>15</v>
      </c>
      <c r="D26" s="2">
        <v>5.78</v>
      </c>
      <c r="E26" s="2">
        <v>1.1879999999999999</v>
      </c>
      <c r="F26" s="2">
        <f>(882*A23*A24*A25)+(764.8*(1-(A23*A24*A25)-((1-A24)*(1-A25))))+(647.7*(1-A24)*(1-A25))</f>
        <v>838.63900000000001</v>
      </c>
      <c r="G26" s="2"/>
      <c r="H26" s="2">
        <f>D26</f>
        <v>5.78</v>
      </c>
      <c r="I26" s="3"/>
      <c r="J26" s="5">
        <f>J25-E26</f>
        <v>-0.71400000000000019</v>
      </c>
      <c r="K26" s="1">
        <f>K25-E26</f>
        <v>1.2620000000000002</v>
      </c>
      <c r="Q26">
        <f>F26</f>
        <v>838.63900000000001</v>
      </c>
      <c r="R26" s="15">
        <f t="shared" si="4"/>
        <v>838.63900000000001</v>
      </c>
      <c r="U26" s="14" t="s">
        <v>26</v>
      </c>
      <c r="V26" s="11">
        <f>V25-E26</f>
        <v>7.3690000000000007</v>
      </c>
      <c r="W26" s="11">
        <f>W25-E26</f>
        <v>0.10900000000000021</v>
      </c>
      <c r="X26" s="9">
        <f>(R26*1.2*(1-((1-W$8)*(1-W$8))))+(R26*1*((1-W$8)*(1-W$8)))</f>
        <v>974.4945544429761</v>
      </c>
    </row>
    <row r="27" spans="1:27" x14ac:dyDescent="0.25">
      <c r="A27" s="16">
        <v>1</v>
      </c>
      <c r="B27" t="s">
        <v>8</v>
      </c>
      <c r="C27" s="5" t="s">
        <v>17</v>
      </c>
      <c r="D27" s="5">
        <v>4.17</v>
      </c>
      <c r="E27" s="5">
        <v>2.3759999999999999</v>
      </c>
      <c r="F27" s="5">
        <v>264</v>
      </c>
      <c r="H27" s="2">
        <f>H26-E27</f>
        <v>3.4040000000000004</v>
      </c>
      <c r="I27" s="3"/>
      <c r="J27" s="5">
        <f>D27</f>
        <v>4.17</v>
      </c>
      <c r="K27" s="1">
        <f>K26-E27</f>
        <v>-1.1139999999999997</v>
      </c>
      <c r="P27">
        <f>341.9*Q$8</f>
        <v>307.70999999999998</v>
      </c>
      <c r="Q27">
        <f>(1-Q$8)*F27</f>
        <v>26.399999999999995</v>
      </c>
      <c r="R27" s="15">
        <f t="shared" si="4"/>
        <v>334.10999999999996</v>
      </c>
      <c r="U27" s="14" t="s">
        <v>22</v>
      </c>
      <c r="V27" s="11">
        <f>V26-E27</f>
        <v>4.9930000000000003</v>
      </c>
      <c r="W27" s="11"/>
      <c r="X27" s="9">
        <f>(R27*1.2*W$8)+(R27*(1-W$8))</f>
        <v>371.80315422599995</v>
      </c>
    </row>
    <row r="28" spans="1:27" x14ac:dyDescent="0.25">
      <c r="A28" s="16">
        <v>0.75</v>
      </c>
      <c r="B28" t="s">
        <v>8</v>
      </c>
      <c r="C28" s="3" t="s">
        <v>20</v>
      </c>
      <c r="D28" s="3">
        <v>2.12</v>
      </c>
      <c r="E28" s="3">
        <v>1.32</v>
      </c>
      <c r="F28" s="3">
        <v>329.5</v>
      </c>
      <c r="G28" s="1"/>
      <c r="H28" s="2">
        <f>H27-E28</f>
        <v>2.0840000000000005</v>
      </c>
      <c r="I28" s="3">
        <f>D28</f>
        <v>2.12</v>
      </c>
      <c r="J28" s="5">
        <f>J27-E28</f>
        <v>2.8499999999999996</v>
      </c>
      <c r="K28" s="17"/>
      <c r="L28" s="7" t="s">
        <v>12</v>
      </c>
      <c r="Q28">
        <f>F28</f>
        <v>329.5</v>
      </c>
      <c r="R28" s="15">
        <f t="shared" si="4"/>
        <v>329.5</v>
      </c>
      <c r="U28" s="14" t="s">
        <v>22</v>
      </c>
      <c r="V28" s="11">
        <f>V27-E28</f>
        <v>3.673</v>
      </c>
      <c r="X28" s="9">
        <f>(R28*1.2*W$8)+(R28*(1-W$8))</f>
        <v>366.67306969999999</v>
      </c>
    </row>
    <row r="29" spans="1:27" x14ac:dyDescent="0.25">
      <c r="A29" s="16">
        <v>0.88</v>
      </c>
      <c r="B29" t="s">
        <v>8</v>
      </c>
      <c r="C29" s="1" t="s">
        <v>21</v>
      </c>
      <c r="D29" s="1">
        <v>3.17</v>
      </c>
      <c r="E29" s="1">
        <v>2.3759999999999999</v>
      </c>
      <c r="F29" s="1">
        <v>326.3</v>
      </c>
      <c r="H29" s="2">
        <f>H28-E29</f>
        <v>-0.29199999999999937</v>
      </c>
      <c r="I29" s="3">
        <f>I28-E29</f>
        <v>-0.25599999999999978</v>
      </c>
      <c r="J29" s="5">
        <f>J28-E29</f>
        <v>0.47399999999999975</v>
      </c>
      <c r="K29" s="1">
        <v>2.4500000000000002</v>
      </c>
      <c r="L29" s="7" t="s">
        <v>12</v>
      </c>
      <c r="Q29">
        <f>F29</f>
        <v>326.3</v>
      </c>
      <c r="R29" s="15">
        <f t="shared" si="4"/>
        <v>326.3</v>
      </c>
      <c r="U29" s="14" t="s">
        <v>22</v>
      </c>
      <c r="V29" s="11">
        <f>V28-E29</f>
        <v>1.2970000000000002</v>
      </c>
      <c r="W29" s="15">
        <f>10.5-(E29-Y$8)</f>
        <v>8.5570000000000004</v>
      </c>
      <c r="X29" s="9">
        <f>(R29*1.2*W$8)+(R29*(1-W$8))</f>
        <v>363.11205658</v>
      </c>
    </row>
    <row r="30" spans="1:27" x14ac:dyDescent="0.25">
      <c r="E30" s="9">
        <f>SUM(E22:E29)</f>
        <v>14.52</v>
      </c>
      <c r="F30" s="9">
        <f>SUM(F22:F29)</f>
        <v>3516.8780000000002</v>
      </c>
      <c r="G30" s="7">
        <f>F30/E30</f>
        <v>242.20922865013776</v>
      </c>
      <c r="H30" s="7" t="s">
        <v>3</v>
      </c>
      <c r="L30" s="1"/>
      <c r="R30" s="9">
        <f>SUM(R22:R29)</f>
        <v>3657.0980000000004</v>
      </c>
      <c r="S30" s="7" t="s">
        <v>14</v>
      </c>
      <c r="X30" s="9">
        <f>SUM(X22:X29)</f>
        <v>4152.1656698979523</v>
      </c>
      <c r="Y30" s="7" t="s">
        <v>14</v>
      </c>
    </row>
    <row r="31" spans="1:27" x14ac:dyDescent="0.25">
      <c r="R31" s="7">
        <f>R30/E30</f>
        <v>251.8662534435262</v>
      </c>
      <c r="S31" s="7" t="s">
        <v>11</v>
      </c>
      <c r="X31" s="7">
        <f>X30/E30</f>
        <v>285.96182299572678</v>
      </c>
      <c r="Y31" s="7" t="s">
        <v>11</v>
      </c>
      <c r="Z31" s="9" t="str">
        <f>CONCATENATE("(",ROUND(X31+X$34,4))</f>
        <v>(299.9405</v>
      </c>
      <c r="AA31" s="9" t="s">
        <v>31</v>
      </c>
    </row>
    <row r="33" spans="3:25" x14ac:dyDescent="0.25">
      <c r="C33" s="6" t="s">
        <v>27</v>
      </c>
      <c r="D33" s="6">
        <v>56.64</v>
      </c>
      <c r="E33" s="6">
        <v>1.32</v>
      </c>
      <c r="F33" s="6">
        <f>F8</f>
        <v>728.06427870000005</v>
      </c>
      <c r="G33" s="6">
        <f>F33/E33</f>
        <v>551.56384749999995</v>
      </c>
      <c r="H33" s="7" t="s">
        <v>12</v>
      </c>
    </row>
    <row r="34" spans="3:25" x14ac:dyDescent="0.25">
      <c r="F34" s="12" t="s">
        <v>30</v>
      </c>
      <c r="G34" s="7">
        <f>F33/(D33+E33)</f>
        <v>12.561495491718427</v>
      </c>
      <c r="H34" s="7" t="s">
        <v>3</v>
      </c>
      <c r="R34" s="15"/>
      <c r="X34" s="7">
        <f>(G34*1.2*W$8)+(G34*(1-W$8))</f>
        <v>13.978640704009427</v>
      </c>
      <c r="Y34" s="7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DPS (Unprocced AS) </vt:lpstr>
      <vt:lpstr>DPS (Procced AS)</vt:lpstr>
      <vt:lpstr>DPS (Procced AS + B.Lightning)</vt:lpstr>
      <vt:lpstr>DPS (Procced AS + WaterSpout)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David</cp:lastModifiedBy>
  <dcterms:created xsi:type="dcterms:W3CDTF">2024-05-07T18:27:44Z</dcterms:created>
  <dcterms:modified xsi:type="dcterms:W3CDTF">2025-08-06T14:49:17Z</dcterms:modified>
</cp:coreProperties>
</file>